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24226"/>
  <mc:AlternateContent xmlns:mc="http://schemas.openxmlformats.org/markup-compatibility/2006">
    <mc:Choice Requires="x15">
      <x15ac:absPath xmlns:x15ac="http://schemas.microsoft.com/office/spreadsheetml/2010/11/ac" url="C:\Users\BSUser\Desktop\Tax planning\"/>
    </mc:Choice>
  </mc:AlternateContent>
  <xr:revisionPtr revIDLastSave="0" documentId="13_ncr:1_{808CB225-0C66-4581-B9CC-8B296D22F8D2}" xr6:coauthVersionLast="45" xr6:coauthVersionMax="45" xr10:uidLastSave="{00000000-0000-0000-0000-000000000000}"/>
  <bookViews>
    <workbookView xWindow="20370" yWindow="-120" windowWidth="20730" windowHeight="11160" tabRatio="875" activeTab="4" xr2:uid="{00000000-000D-0000-FFFF-FFFF00000000}"/>
  </bookViews>
  <sheets>
    <sheet name="Instructions" sheetId="2" r:id="rId1"/>
    <sheet name="P&amp;L Projection" sheetId="18" r:id="rId2"/>
    <sheet name="Tax Estimate - Entity" sheetId="3" r:id="rId3"/>
    <sheet name="Tax Estimate - Individual" sheetId="5" r:id="rId4"/>
    <sheet name="Group Tax Summary" sheetId="25" r:id="rId5"/>
    <sheet name="Tax Recon - Trust" sheetId="16" r:id="rId6"/>
    <sheet name="Tax Recon - Company 1" sheetId="17" r:id="rId7"/>
    <sheet name="Tax Recon - Company 2" sheetId="26" r:id="rId8"/>
    <sheet name="Relief Package - Individuals" sheetId="19" r:id="rId9"/>
    <sheet name="Relief Package - Business" sheetId="20" r:id="rId10"/>
    <sheet name="Relief Measures - Bushfire" sheetId="22" r:id="rId11"/>
    <sheet name="Michael D Cassar Wages" sheetId="11" state="hidden" r:id="rId12"/>
    <sheet name="Sheet1" sheetId="12" state="hidden" r:id="rId13"/>
    <sheet name="Dep Schedule" sheetId="21" r:id="rId14"/>
    <sheet name="HP Schedule" sheetId="23" r:id="rId15"/>
  </sheets>
  <externalReferences>
    <externalReference r:id="rId16"/>
    <externalReference r:id="rId17"/>
  </externalReferences>
  <definedNames>
    <definedName name="_Dir1" localSheetId="7">[1]Worksheet2!#REF!</definedName>
    <definedName name="_Dir1">[1]Worksheet2!#REF!</definedName>
    <definedName name="_Dir2" localSheetId="7">[1]Worksheet2!#REF!</definedName>
    <definedName name="_Dir2">[1]Worksheet2!#REF!</definedName>
    <definedName name="_xlnm._FilterDatabase" localSheetId="3" hidden="1">'Tax Estimate - Individual'!$A$1:$E$6</definedName>
    <definedName name="_Sal1" localSheetId="7">[1]Worksheet2!#REF!</definedName>
    <definedName name="_Sal1">[1]Worksheet2!#REF!</definedName>
    <definedName name="_Sal2" localSheetId="7">[1]Worksheet2!#REF!</definedName>
    <definedName name="_Sal2">[1]Worksheet2!#REF!</definedName>
    <definedName name="A__Class" localSheetId="7">#REF!</definedName>
    <definedName name="A__Class">#REF!</definedName>
    <definedName name="Bal2003Co" localSheetId="7">[1]Worksheet2!#REF!</definedName>
    <definedName name="Bal2003Co">[1]Worksheet2!#REF!</definedName>
    <definedName name="BeefNumbers" localSheetId="7">#REF!,#REF!,#REF!</definedName>
    <definedName name="BeefNumbers">#REF!,#REF!,#REF!</definedName>
    <definedName name="C__Class" localSheetId="7">#REF!</definedName>
    <definedName name="C__Class">#REF!</definedName>
    <definedName name="ChangeInNumbersCurrent" localSheetId="7">#REF!,#REF!,#REF!,#REF!,#REF!,#REF!,#REF!,#REF!,#REF!,#REF!</definedName>
    <definedName name="ChangeInNumbersCurrent">#REF!,#REF!,#REF!,#REF!,#REF!,#REF!,#REF!,#REF!,#REF!,#REF!</definedName>
    <definedName name="ChangeInNumbersLastYear" localSheetId="7">#REF!,#REF!,#REF!,#REF!,#REF!,#REF!,#REF!,#REF!,#REF!,#REF!</definedName>
    <definedName name="ChangeInNumbersLastYear">#REF!,#REF!,#REF!,#REF!,#REF!,#REF!,#REF!,#REF!,#REF!,#REF!</definedName>
    <definedName name="Client" localSheetId="7">#REF!</definedName>
    <definedName name="Client">#REF!</definedName>
    <definedName name="ClientNameHeader">'Group Tax Summary'!$B$1</definedName>
    <definedName name="Comp" localSheetId="7">[1]Worksheet2!#REF!</definedName>
    <definedName name="Comp">[1]Worksheet2!#REF!</definedName>
    <definedName name="CompFin" localSheetId="7">[1]Worksheet2!#REF!</definedName>
    <definedName name="CompFin">[1]Worksheet2!#REF!</definedName>
    <definedName name="D__Class" localSheetId="7">#REF!</definedName>
    <definedName name="D__Class">#REF!</definedName>
    <definedName name="DeerNumbers" localSheetId="7">#REF!,#REF!,#REF!</definedName>
    <definedName name="DeerNumbers">#REF!,#REF!,#REF!</definedName>
    <definedName name="DefAmtCo" localSheetId="7">[1]Worksheet2!#REF!</definedName>
    <definedName name="DefAmtCo">[1]Worksheet2!#REF!</definedName>
    <definedName name="DefAmtCo1" localSheetId="7">[1]Worksheet2!#REF!</definedName>
    <definedName name="DefAmtCo1">[1]Worksheet2!#REF!</definedName>
    <definedName name="DefAmtCo2" localSheetId="7">[1]Worksheet2!#REF!</definedName>
    <definedName name="DefAmtCo2">[1]Worksheet2!#REF!</definedName>
    <definedName name="DefAmtCo3" localSheetId="7">[1]Worksheet2!#REF!</definedName>
    <definedName name="DefAmtCo3">[1]Worksheet2!#REF!</definedName>
    <definedName name="DefAmtCo4" localSheetId="7">[1]Worksheet2!#REF!</definedName>
    <definedName name="DefAmtCo4">[1]Worksheet2!#REF!</definedName>
    <definedName name="DefAmtCo5" localSheetId="7">[1]Worksheet2!#REF!</definedName>
    <definedName name="DefAmtCo5">[1]Worksheet2!#REF!</definedName>
    <definedName name="DirBonus" localSheetId="7">[1]Worksheet2!#REF!</definedName>
    <definedName name="DirBonus">[1]Worksheet2!#REF!</definedName>
    <definedName name="DirFin" localSheetId="7">[1]Worksheet2!#REF!</definedName>
    <definedName name="DirFin">[1]Worksheet2!#REF!</definedName>
    <definedName name="DirFin2" localSheetId="7">[1]Worksheet2!#REF!</definedName>
    <definedName name="DirFin2">[1]Worksheet2!#REF!</definedName>
    <definedName name="DirPAYG1" localSheetId="7">[1]Worksheet2!#REF!</definedName>
    <definedName name="DirPAYG1">[1]Worksheet2!#REF!</definedName>
    <definedName name="DirPAYG2" localSheetId="7">[1]Worksheet2!#REF!</definedName>
    <definedName name="DirPAYG2">[1]Worksheet2!#REF!</definedName>
    <definedName name="DirPAYGI1" localSheetId="7">[1]Worksheet2!#REF!</definedName>
    <definedName name="DirPAYGI1">[1]Worksheet2!#REF!</definedName>
    <definedName name="DirPAYGI2" localSheetId="7">[1]Worksheet2!#REF!</definedName>
    <definedName name="DirPAYGI2">[1]Worksheet2!#REF!</definedName>
    <definedName name="DueComp" localSheetId="7">[1]Worksheet2!#REF!</definedName>
    <definedName name="DueComp">[1]Worksheet2!#REF!</definedName>
    <definedName name="DueDir1" localSheetId="7">[1]Worksheet2!#REF!</definedName>
    <definedName name="DueDir1">[1]Worksheet2!#REF!</definedName>
    <definedName name="DueDir2" localSheetId="7">[1]Worksheet2!#REF!</definedName>
    <definedName name="DueDir2">[1]Worksheet2!#REF!</definedName>
    <definedName name="DueSuper" localSheetId="7">[1]Worksheet2!#REF!</definedName>
    <definedName name="DueSuper">[1]Worksheet2!#REF!</definedName>
    <definedName name="E_Class" localSheetId="7">#REF!</definedName>
    <definedName name="E_Class">#REF!</definedName>
    <definedName name="edp" localSheetId="7">[2]AMORT!#REF!</definedName>
    <definedName name="edp">[2]AMORT!#REF!</definedName>
    <definedName name="EstInc" localSheetId="7">[1]Worksheet2!#REF!</definedName>
    <definedName name="EstInc">[1]Worksheet2!#REF!</definedName>
    <definedName name="FinalPAYGW" localSheetId="7">[1]Worksheet2!#REF!</definedName>
    <definedName name="FinalPAYGW">[1]Worksheet2!#REF!</definedName>
    <definedName name="FinComp" localSheetId="7">[1]Worksheet2!#REF!</definedName>
    <definedName name="FinComp">[1]Worksheet2!#REF!</definedName>
    <definedName name="FinDir1" localSheetId="7">[1]Worksheet2!#REF!</definedName>
    <definedName name="FinDir1">[1]Worksheet2!#REF!</definedName>
    <definedName name="FinDir2" localSheetId="7">[1]Worksheet2!#REF!</definedName>
    <definedName name="FinDir2">[1]Worksheet2!#REF!</definedName>
    <definedName name="FinSuper" localSheetId="7">[1]Worksheet2!#REF!</definedName>
    <definedName name="FinSuper">[1]Worksheet2!#REF!</definedName>
    <definedName name="Flood">Sheet1!$A$3:$A$4</definedName>
    <definedName name="FresianNumbers" localSheetId="7">#REF!,#REF!,#REF!,#REF!</definedName>
    <definedName name="FresianNumbers">#REF!,#REF!,#REF!,#REF!</definedName>
    <definedName name="GoatNumbers" localSheetId="7">#REF!,#REF!,#REF!,#REF!</definedName>
    <definedName name="GoatNumbers">#REF!,#REF!,#REF!,#REF!</definedName>
    <definedName name="HerdTotalCurrent" localSheetId="7">#REF!,#REF!,#REF!,#REF!,#REF!,#REF!,#REF!,#REF!,#REF!,#REF!</definedName>
    <definedName name="HerdTotalCurrent">#REF!,#REF!,#REF!,#REF!,#REF!,#REF!,#REF!,#REF!,#REF!,#REF!</definedName>
    <definedName name="HerdTotalLastYear" localSheetId="7">#REF!,#REF!,#REF!,#REF!,#REF!,#REF!,#REF!,#REF!,#REF!,#REF!</definedName>
    <definedName name="HerdTotalLastYear">#REF!,#REF!,#REF!,#REF!,#REF!,#REF!,#REF!,#REF!,#REF!,#REF!</definedName>
    <definedName name="Home" localSheetId="7">#REF!</definedName>
    <definedName name="Home">#REF!</definedName>
    <definedName name="HPBeefNumbers" localSheetId="7">#REF!,#REF!,#REF!,#REF!</definedName>
    <definedName name="HPBeefNumbers">#REF!,#REF!,#REF!,#REF!</definedName>
    <definedName name="HPDeerNumbers" localSheetId="7">#REF!,#REF!,#REF!,#REF!</definedName>
    <definedName name="HPDeerNumbers">#REF!,#REF!,#REF!,#REF!</definedName>
    <definedName name="HPSheepNumbers" localSheetId="7">#REF!,#REF!,#REF!</definedName>
    <definedName name="HPSheepNumbers">#REF!,#REF!,#REF!</definedName>
    <definedName name="JerseyNumbers" localSheetId="7">#REF!,#REF!,#REF!,#REF!</definedName>
    <definedName name="JerseyNumbers">#REF!,#REF!,#REF!,#REF!</definedName>
    <definedName name="ly" localSheetId="7">[2]DATA!#REF!</definedName>
    <definedName name="ly">[2]DATA!#REF!</definedName>
    <definedName name="NSCTotalCurrentYear" localSheetId="7">#REF!,#REF!,#REF!,#REF!,#REF!,#REF!,#REF!,#REF!,#REF!,#REF!</definedName>
    <definedName name="NSCTotalCurrentYear">#REF!,#REF!,#REF!,#REF!,#REF!,#REF!,#REF!,#REF!,#REF!,#REF!</definedName>
    <definedName name="NSCTotalLastYear" localSheetId="7">#REF!,#REF!,#REF!,#REF!,#REF!,#REF!,#REF!,#REF!,#REF!,#REF!</definedName>
    <definedName name="NSCTotalLastYear">#REF!,#REF!,#REF!,#REF!,#REF!,#REF!,#REF!,#REF!,#REF!,#REF!</definedName>
    <definedName name="Ordinary_Shares" localSheetId="7">#REF!</definedName>
    <definedName name="Ordinary_Shares">#REF!</definedName>
    <definedName name="PAYGIComp" localSheetId="7">[1]Worksheet2!#REF!</definedName>
    <definedName name="PAYGIComp">[1]Worksheet2!#REF!</definedName>
    <definedName name="PAYGIDir1" localSheetId="7">[1]Worksheet2!#REF!</definedName>
    <definedName name="PAYGIDir1">[1]Worksheet2!#REF!</definedName>
    <definedName name="PAYGIDir2" localSheetId="7">[1]Worksheet2!#REF!</definedName>
    <definedName name="PAYGIDir2">[1]Worksheet2!#REF!</definedName>
    <definedName name="PAYGISuper" localSheetId="7">[1]Worksheet2!#REF!</definedName>
    <definedName name="PAYGISuper">[1]Worksheet2!#REF!</definedName>
    <definedName name="PAYGW1" localSheetId="7">[1]Worksheet2!#REF!</definedName>
    <definedName name="PAYGW1">[1]Worksheet2!#REF!</definedName>
    <definedName name="PAYGW2" localSheetId="7">[1]Worksheet2!#REF!</definedName>
    <definedName name="PAYGW2">[1]Worksheet2!#REF!</definedName>
    <definedName name="Preference_Shares" localSheetId="7">#REF!</definedName>
    <definedName name="Preference_Shares">#REF!</definedName>
    <definedName name="_xlnm.Print_Area" localSheetId="0">Instructions!$A$1:$G$37</definedName>
    <definedName name="_xlnm.Print_Area" localSheetId="2">'Tax Estimate - Entity'!$A$1:$G$78</definedName>
    <definedName name="_xlnm.Print_Area" localSheetId="3">'Tax Estimate - Individual'!$A$1:$E$85</definedName>
    <definedName name="ProjInc" localSheetId="7">[1]Worksheet2!#REF!</definedName>
    <definedName name="ProjInc">[1]Worksheet2!#REF!</definedName>
    <definedName name="QuarterlyPAYGICo" localSheetId="7">[1]Worksheet2!#REF!</definedName>
    <definedName name="QuarterlyPAYGICo">[1]Worksheet2!#REF!</definedName>
    <definedName name="sdp" localSheetId="7">[2]AMORT!#REF!</definedName>
    <definedName name="sdp">[2]AMORT!#REF!</definedName>
    <definedName name="SheepNumbers" localSheetId="7">#REF!,#REF!,#REF!</definedName>
    <definedName name="SheepNumbers">#REF!,#REF!,#REF!</definedName>
    <definedName name="Super" localSheetId="7">[1]Worksheet2!#REF!</definedName>
    <definedName name="Super">[1]Worksheet2!#REF!</definedName>
    <definedName name="Supercont" localSheetId="7">[1]Worksheet2!#REF!</definedName>
    <definedName name="Supercont">[1]Worksheet2!#REF!</definedName>
    <definedName name="SuperFin" localSheetId="7">[1]Worksheet2!#REF!</definedName>
    <definedName name="SuperFin">[1]Worksheet2!#REF!</definedName>
    <definedName name="SuperFund" localSheetId="7">[1]Worksheet2!#REF!</definedName>
    <definedName name="SuperFund">[1]Worksheet2!#REF!</definedName>
    <definedName name="TaxSaving" localSheetId="7">[1]Worksheet2!#REF!</definedName>
    <definedName name="TaxSaving">[1]Worksheet2!#REF!</definedName>
    <definedName name="TotalHPNumbers" localSheetId="7">#REF!,#REF!,#REF!,#REF!,#REF!,#REF!,#REF!,#REF!,#REF!,#REF!,#REF!,#REF!</definedName>
    <definedName name="TotalHPNumbers">#REF!,#REF!,#REF!,#REF!,#REF!,#REF!,#REF!,#REF!,#REF!,#REF!,#REF!,#REF!</definedName>
    <definedName name="TotalNormalNumbers" localSheetId="7">#REF!,#REF!,#REF!,#REF!,#REF!,#REF!,#REF!,#REF!,#REF!,#REF!,#REF!,#REF!,#REF!,#REF!,#REF!,#REF!,#REF!,#REF!,#REF!,#REF!,#REF!</definedName>
    <definedName name="TotalNormalNumbers">#REF!,#REF!,#REF!,#REF!,#REF!,#REF!,#REF!,#REF!,#REF!,#REF!,#REF!,#REF!,#REF!,#REF!,#REF!,#REF!,#REF!,#REF!,#REF!,#REF!,#REF!</definedName>
    <definedName name="WapitiNumbers" localSheetId="7">#REF!,#REF!,#REF!</definedName>
    <definedName name="WapitiNumbers">#REF!,#REF!,#REF!</definedName>
  </definedNames>
  <calcPr calcId="191029"/>
  <customWorkbookViews>
    <customWorkbookView name="User - Personal View" guid="{021DB28E-2E98-411A-B70D-B795B40C598B}" mergeInterval="0" personalView="1" maximized="1" xWindow="-8" yWindow="-8" windowWidth="1382" windowHeight="744" tabRatio="846"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25" l="1"/>
  <c r="G26" i="25"/>
  <c r="G28" i="25" s="1"/>
  <c r="F28" i="25"/>
  <c r="E28" i="25"/>
  <c r="D28" i="25"/>
  <c r="G20" i="25"/>
  <c r="F20" i="25"/>
  <c r="E20" i="25"/>
  <c r="D20" i="25"/>
  <c r="C20" i="25"/>
  <c r="C7" i="19" l="1"/>
  <c r="C68" i="5"/>
  <c r="C6" i="22"/>
  <c r="C11" i="22"/>
  <c r="F63" i="26"/>
  <c r="F56" i="26"/>
  <c r="E30" i="26"/>
  <c r="F38" i="26" s="1"/>
  <c r="F42" i="26" s="1"/>
  <c r="F50" i="26" s="1"/>
  <c r="F65" i="26" s="1"/>
  <c r="F27" i="26"/>
  <c r="F4" i="26"/>
  <c r="D6" i="5"/>
  <c r="C6" i="5"/>
  <c r="E6" i="3"/>
  <c r="D6" i="3"/>
  <c r="C6" i="3"/>
  <c r="G4" i="25"/>
  <c r="F4" i="25"/>
  <c r="E4" i="25"/>
  <c r="D4" i="25"/>
  <c r="C4" i="25"/>
  <c r="E25" i="25"/>
  <c r="D25" i="25"/>
  <c r="C25" i="25"/>
  <c r="J28" i="25"/>
  <c r="H28" i="25"/>
  <c r="E24" i="25"/>
  <c r="G25" i="25"/>
  <c r="F25" i="25"/>
  <c r="E67" i="5"/>
  <c r="G24" i="25"/>
  <c r="F24" i="25"/>
  <c r="D24" i="25"/>
  <c r="C24" i="25"/>
  <c r="E69" i="5"/>
  <c r="G10" i="25"/>
  <c r="F10" i="25"/>
  <c r="G9" i="25"/>
  <c r="F9" i="25"/>
  <c r="K16" i="25"/>
  <c r="K15" i="25"/>
  <c r="K14" i="25"/>
  <c r="K13" i="25"/>
  <c r="K12" i="25"/>
  <c r="K11" i="25"/>
  <c r="B1" i="25"/>
  <c r="I28" i="25"/>
  <c r="B20" i="25"/>
  <c r="J18" i="25"/>
  <c r="B18" i="25"/>
  <c r="B16" i="25"/>
  <c r="B15" i="25"/>
  <c r="B14" i="25"/>
  <c r="B13" i="25"/>
  <c r="B12" i="25"/>
  <c r="B11" i="25"/>
  <c r="B10" i="25"/>
  <c r="B9" i="25"/>
  <c r="B8" i="25"/>
  <c r="J6" i="25"/>
  <c r="I6" i="25"/>
  <c r="I18" i="25" s="1"/>
  <c r="H6" i="25"/>
  <c r="H18" i="25" s="1"/>
  <c r="G6" i="25"/>
  <c r="F6" i="25"/>
  <c r="E6" i="25"/>
  <c r="E18" i="25" s="1"/>
  <c r="B6" i="25"/>
  <c r="K4" i="25"/>
  <c r="A24" i="23"/>
  <c r="A25" i="23" s="1"/>
  <c r="H23" i="23"/>
  <c r="B23" i="23"/>
  <c r="C22" i="23"/>
  <c r="C11" i="23"/>
  <c r="C13" i="23" s="1"/>
  <c r="AA9" i="23"/>
  <c r="AA8" i="23"/>
  <c r="K24" i="25" l="1"/>
  <c r="F18" i="25"/>
  <c r="G18" i="25"/>
  <c r="K10" i="25"/>
  <c r="K9" i="25"/>
  <c r="B24" i="23"/>
  <c r="B25" i="23" s="1"/>
  <c r="A26" i="23"/>
  <c r="B26" i="23" l="1"/>
  <c r="A27" i="23"/>
  <c r="A28" i="23" l="1"/>
  <c r="B27" i="23"/>
  <c r="B28" i="23" l="1"/>
  <c r="A29" i="23"/>
  <c r="A30" i="23" l="1"/>
  <c r="B29" i="23"/>
  <c r="B30" i="23" l="1"/>
  <c r="A31" i="23"/>
  <c r="B31" i="23" l="1"/>
  <c r="A32" i="23"/>
  <c r="B32" i="23" l="1"/>
  <c r="A33" i="23"/>
  <c r="A34" i="23" l="1"/>
  <c r="B33" i="23"/>
  <c r="B34" i="23" l="1"/>
  <c r="A35" i="23"/>
  <c r="A36" i="23" l="1"/>
  <c r="B35" i="23"/>
  <c r="B36" i="23" l="1"/>
  <c r="A37" i="23"/>
  <c r="A38" i="23" l="1"/>
  <c r="B37" i="23"/>
  <c r="B38" i="23" l="1"/>
  <c r="A39" i="23"/>
  <c r="A40" i="23" l="1"/>
  <c r="B39" i="23"/>
  <c r="B40" i="23" l="1"/>
  <c r="A41" i="23"/>
  <c r="A42" i="23" l="1"/>
  <c r="B41" i="23"/>
  <c r="B42" i="23" l="1"/>
  <c r="A43" i="23"/>
  <c r="A44" i="23" l="1"/>
  <c r="B43" i="23"/>
  <c r="B44" i="23" l="1"/>
  <c r="A45" i="23"/>
  <c r="A46" i="23" l="1"/>
  <c r="B45" i="23"/>
  <c r="B46" i="23" l="1"/>
  <c r="A47" i="23"/>
  <c r="A48" i="23" l="1"/>
  <c r="B47" i="23"/>
  <c r="B48" i="23" l="1"/>
  <c r="A49" i="23"/>
  <c r="A50" i="23" l="1"/>
  <c r="B49" i="23"/>
  <c r="B50" i="23" l="1"/>
  <c r="A51" i="23"/>
  <c r="A52" i="23" l="1"/>
  <c r="B51" i="23"/>
  <c r="B52" i="23" l="1"/>
  <c r="A53" i="23"/>
  <c r="A54" i="23" l="1"/>
  <c r="B53" i="23"/>
  <c r="B54" i="23" l="1"/>
  <c r="A55" i="23"/>
  <c r="A56" i="23" l="1"/>
  <c r="B55" i="23"/>
  <c r="B56" i="23" l="1"/>
  <c r="A57" i="23"/>
  <c r="B57" i="23" l="1"/>
  <c r="A58" i="23"/>
  <c r="A59" i="23" l="1"/>
  <c r="B58" i="23"/>
  <c r="A60" i="23" l="1"/>
  <c r="B59" i="23"/>
  <c r="A61" i="23" l="1"/>
  <c r="B60" i="23"/>
  <c r="A62" i="23" l="1"/>
  <c r="B61" i="23"/>
  <c r="A63" i="23" l="1"/>
  <c r="B62" i="23"/>
  <c r="B63" i="23" l="1"/>
  <c r="A64" i="23"/>
  <c r="A65" i="23" l="1"/>
  <c r="B64" i="23"/>
  <c r="A66" i="23" l="1"/>
  <c r="B65" i="23"/>
  <c r="A67" i="23" l="1"/>
  <c r="B66" i="23"/>
  <c r="A68" i="23" l="1"/>
  <c r="B67" i="23"/>
  <c r="A69" i="23" l="1"/>
  <c r="B68" i="23"/>
  <c r="A70" i="23" l="1"/>
  <c r="B69" i="23"/>
  <c r="A71" i="23" l="1"/>
  <c r="B70" i="23"/>
  <c r="F71" i="23" l="1"/>
  <c r="G71" i="23"/>
  <c r="E71" i="23"/>
  <c r="H71" i="23"/>
  <c r="C71" i="23"/>
  <c r="B71" i="23"/>
  <c r="A72" i="23"/>
  <c r="G72" i="23" l="1"/>
  <c r="B72" i="23"/>
  <c r="E72" i="23"/>
  <c r="A73" i="23"/>
  <c r="C72" i="23"/>
  <c r="H72" i="23"/>
  <c r="F72" i="23"/>
  <c r="H73" i="23" l="1"/>
  <c r="C73" i="23"/>
  <c r="A74" i="23"/>
  <c r="B73" i="23"/>
  <c r="G73" i="23"/>
  <c r="E73" i="23"/>
  <c r="F73" i="23"/>
  <c r="A75" i="23" l="1"/>
  <c r="E74" i="23"/>
  <c r="G74" i="23"/>
  <c r="F74" i="23"/>
  <c r="H74" i="23"/>
  <c r="C74" i="23"/>
  <c r="B74" i="23"/>
  <c r="F75" i="23" l="1"/>
  <c r="E75" i="23"/>
  <c r="A76" i="23"/>
  <c r="C75" i="23"/>
  <c r="H75" i="23"/>
  <c r="G75" i="23"/>
  <c r="B75" i="23"/>
  <c r="G76" i="23" l="1"/>
  <c r="B76" i="23"/>
  <c r="A77" i="23"/>
  <c r="C76" i="23"/>
  <c r="H76" i="23"/>
  <c r="E76" i="23"/>
  <c r="F76" i="23"/>
  <c r="H77" i="23" l="1"/>
  <c r="C77" i="23"/>
  <c r="G77" i="23"/>
  <c r="F77" i="23"/>
  <c r="A78" i="23"/>
  <c r="E77" i="23"/>
  <c r="B77" i="23"/>
  <c r="A79" i="23" l="1"/>
  <c r="E78" i="23"/>
  <c r="F78" i="23"/>
  <c r="C78" i="23"/>
  <c r="H78" i="23"/>
  <c r="G78" i="23"/>
  <c r="B78" i="23"/>
  <c r="F79" i="23" l="1"/>
  <c r="A80" i="23"/>
  <c r="C79" i="23"/>
  <c r="H79" i="23"/>
  <c r="B79" i="23"/>
  <c r="E79" i="23"/>
  <c r="G79" i="23"/>
  <c r="G80" i="23" l="1"/>
  <c r="B80" i="23"/>
  <c r="H80" i="23"/>
  <c r="F80" i="23"/>
  <c r="A81" i="23"/>
  <c r="E80" i="23"/>
  <c r="C80" i="23"/>
  <c r="H81" i="23" l="1"/>
  <c r="C81" i="23"/>
  <c r="F81" i="23"/>
  <c r="E81" i="23"/>
  <c r="A82" i="23"/>
  <c r="G81" i="23"/>
  <c r="B81" i="23"/>
  <c r="A83" i="23" l="1"/>
  <c r="E82" i="23"/>
  <c r="C82" i="23"/>
  <c r="H82" i="23"/>
  <c r="B82" i="23"/>
  <c r="G82" i="23"/>
  <c r="F82" i="23"/>
  <c r="F83" i="23" l="1"/>
  <c r="H83" i="23"/>
  <c r="B83" i="23"/>
  <c r="G83" i="23"/>
  <c r="A84" i="23"/>
  <c r="E83" i="23"/>
  <c r="C83" i="23"/>
  <c r="A85" i="23" l="1"/>
  <c r="E84" i="23"/>
  <c r="H84" i="23"/>
  <c r="C84" i="23"/>
  <c r="G84" i="23"/>
  <c r="B84" i="23"/>
  <c r="F84" i="23"/>
  <c r="F85" i="23" l="1"/>
  <c r="A86" i="23"/>
  <c r="E85" i="23"/>
  <c r="H85" i="23"/>
  <c r="C85" i="23"/>
  <c r="G85" i="23"/>
  <c r="B85" i="23"/>
  <c r="G86" i="23" l="1"/>
  <c r="B86" i="23"/>
  <c r="F86" i="23"/>
  <c r="A87" i="23"/>
  <c r="E86" i="23"/>
  <c r="H86" i="23"/>
  <c r="C86" i="23"/>
  <c r="H87" i="23" l="1"/>
  <c r="C87" i="23"/>
  <c r="G87" i="23"/>
  <c r="B87" i="23"/>
  <c r="F87" i="23"/>
  <c r="A88" i="23"/>
  <c r="E87" i="23"/>
  <c r="A89" i="23" l="1"/>
  <c r="E88" i="23"/>
  <c r="H88" i="23"/>
  <c r="C88" i="23"/>
  <c r="G88" i="23"/>
  <c r="B88" i="23"/>
  <c r="F88" i="23"/>
  <c r="F89" i="23" l="1"/>
  <c r="A90" i="23"/>
  <c r="E89" i="23"/>
  <c r="H89" i="23"/>
  <c r="C89" i="23"/>
  <c r="G89" i="23"/>
  <c r="B89" i="23"/>
  <c r="G90" i="23" l="1"/>
  <c r="B90" i="23"/>
  <c r="F90" i="23"/>
  <c r="A91" i="23"/>
  <c r="E90" i="23"/>
  <c r="C90" i="23"/>
  <c r="H90" i="23"/>
  <c r="H91" i="23" l="1"/>
  <c r="C91" i="23"/>
  <c r="G91" i="23"/>
  <c r="B91" i="23"/>
  <c r="F91" i="23"/>
  <c r="A92" i="23"/>
  <c r="E91" i="23"/>
  <c r="A93" i="23" l="1"/>
  <c r="E92" i="23"/>
  <c r="H92" i="23"/>
  <c r="C92" i="23"/>
  <c r="G92" i="23"/>
  <c r="B92" i="23"/>
  <c r="F92" i="23"/>
  <c r="F93" i="23" l="1"/>
  <c r="A94" i="23"/>
  <c r="E93" i="23"/>
  <c r="H93" i="23"/>
  <c r="C93" i="23"/>
  <c r="B93" i="23"/>
  <c r="G93" i="23"/>
  <c r="G94" i="23" l="1"/>
  <c r="B94" i="23"/>
  <c r="F94" i="23"/>
  <c r="A95" i="23"/>
  <c r="E94" i="23"/>
  <c r="H94" i="23"/>
  <c r="C94" i="23"/>
  <c r="H95" i="23" l="1"/>
  <c r="C95" i="23"/>
  <c r="G95" i="23"/>
  <c r="B95" i="23"/>
  <c r="F95" i="23"/>
  <c r="A96" i="23"/>
  <c r="E95" i="23"/>
  <c r="A97" i="23" l="1"/>
  <c r="E96" i="23"/>
  <c r="H96" i="23"/>
  <c r="C96" i="23"/>
  <c r="G96" i="23"/>
  <c r="B96" i="23"/>
  <c r="F96" i="23"/>
  <c r="F97" i="23" l="1"/>
  <c r="A98" i="23"/>
  <c r="E97" i="23"/>
  <c r="H97" i="23"/>
  <c r="C97" i="23"/>
  <c r="B97" i="23"/>
  <c r="G97" i="23"/>
  <c r="G98" i="23" l="1"/>
  <c r="B98" i="23"/>
  <c r="F98" i="23"/>
  <c r="A99" i="23"/>
  <c r="E98" i="23"/>
  <c r="H98" i="23"/>
  <c r="C98" i="23"/>
  <c r="H99" i="23" l="1"/>
  <c r="C99" i="23"/>
  <c r="G99" i="23"/>
  <c r="B99" i="23"/>
  <c r="F99" i="23"/>
  <c r="E99" i="23"/>
  <c r="A100" i="23"/>
  <c r="A101" i="23" l="1"/>
  <c r="E100" i="23"/>
  <c r="H100" i="23"/>
  <c r="C100" i="23"/>
  <c r="G100" i="23"/>
  <c r="B100" i="23"/>
  <c r="F100" i="23"/>
  <c r="F101" i="23" l="1"/>
  <c r="A102" i="23"/>
  <c r="E101" i="23"/>
  <c r="H101" i="23"/>
  <c r="C101" i="23"/>
  <c r="G101" i="23"/>
  <c r="B101" i="23"/>
  <c r="G102" i="23" l="1"/>
  <c r="B102" i="23"/>
  <c r="F102" i="23"/>
  <c r="A103" i="23"/>
  <c r="E102" i="23"/>
  <c r="C102" i="23"/>
  <c r="H102" i="23"/>
  <c r="H103" i="23" l="1"/>
  <c r="C103" i="23"/>
  <c r="G103" i="23"/>
  <c r="B103" i="23"/>
  <c r="F103" i="23"/>
  <c r="A104" i="23"/>
  <c r="E103" i="23"/>
  <c r="A105" i="23" l="1"/>
  <c r="E104" i="23"/>
  <c r="H104" i="23"/>
  <c r="C104" i="23"/>
  <c r="G104" i="23"/>
  <c r="B104" i="23"/>
  <c r="F104" i="23"/>
  <c r="F105" i="23" l="1"/>
  <c r="A106" i="23"/>
  <c r="E105" i="23"/>
  <c r="H105" i="23"/>
  <c r="C105" i="23"/>
  <c r="G105" i="23"/>
  <c r="B105" i="23"/>
  <c r="G106" i="23" l="1"/>
  <c r="B106" i="23"/>
  <c r="F106" i="23"/>
  <c r="A107" i="23"/>
  <c r="E106" i="23"/>
  <c r="C106" i="23"/>
  <c r="H106" i="23"/>
  <c r="H107" i="23" l="1"/>
  <c r="C107" i="23"/>
  <c r="E15" i="23" s="1"/>
  <c r="G107" i="23"/>
  <c r="B107" i="23"/>
  <c r="F107" i="23"/>
  <c r="E107" i="23"/>
  <c r="E17" i="23" l="1"/>
  <c r="E23" i="23"/>
  <c r="F23" i="23" l="1"/>
  <c r="G23" i="23" s="1"/>
  <c r="H24" i="23" s="1"/>
  <c r="E24" i="23" s="1"/>
  <c r="F24" i="23" l="1"/>
  <c r="G24" i="23" s="1"/>
  <c r="H25" i="23" s="1"/>
  <c r="E25" i="23" s="1"/>
  <c r="F25" i="23" l="1"/>
  <c r="G25" i="23" s="1"/>
  <c r="H26" i="23" s="1"/>
  <c r="E26" i="23" s="1"/>
  <c r="F26" i="23" l="1"/>
  <c r="G26" i="23" s="1"/>
  <c r="H27" i="23" s="1"/>
  <c r="E27" i="23"/>
  <c r="F27" i="23" s="1"/>
  <c r="G27" i="23" s="1"/>
  <c r="H28" i="23" s="1"/>
  <c r="E28" i="23" l="1"/>
  <c r="F28" i="23" l="1"/>
  <c r="G28" i="23" s="1"/>
  <c r="H29" i="23" s="1"/>
  <c r="E29" i="23" s="1"/>
  <c r="C14" i="18"/>
  <c r="F29" i="23" l="1"/>
  <c r="G29" i="23" s="1"/>
  <c r="H30" i="23" s="1"/>
  <c r="E30" i="23" s="1"/>
  <c r="F30" i="23" l="1"/>
  <c r="G30" i="23" s="1"/>
  <c r="H31" i="23" s="1"/>
  <c r="E31" i="23"/>
  <c r="F31" i="23" s="1"/>
  <c r="G31" i="23" s="1"/>
  <c r="H32" i="23" s="1"/>
  <c r="D14" i="18" l="1"/>
  <c r="E32" i="23"/>
  <c r="F32" i="23" s="1"/>
  <c r="G32" i="23" s="1"/>
  <c r="H33" i="23" s="1"/>
  <c r="E33" i="23" l="1"/>
  <c r="F33" i="23" s="1"/>
  <c r="G33" i="23" s="1"/>
  <c r="H34" i="23" s="1"/>
  <c r="E34" i="23" l="1"/>
  <c r="F34" i="23" s="1"/>
  <c r="G34" i="23" s="1"/>
  <c r="H35" i="23" s="1"/>
  <c r="E35" i="23" l="1"/>
  <c r="F35" i="23" s="1"/>
  <c r="G35" i="23" s="1"/>
  <c r="H36" i="23" s="1"/>
  <c r="E36" i="23" l="1"/>
  <c r="F36" i="23" s="1"/>
  <c r="G36" i="23" s="1"/>
  <c r="H37" i="23" s="1"/>
  <c r="E37" i="23" l="1"/>
  <c r="F37" i="23" s="1"/>
  <c r="G37" i="23" s="1"/>
  <c r="H38" i="23" s="1"/>
  <c r="E38" i="23" l="1"/>
  <c r="F38" i="23" s="1"/>
  <c r="G38" i="23" s="1"/>
  <c r="H39" i="23" s="1"/>
  <c r="E39" i="23" l="1"/>
  <c r="F39" i="23" s="1"/>
  <c r="G39" i="23" s="1"/>
  <c r="H40" i="23" s="1"/>
  <c r="E40" i="23" l="1"/>
  <c r="F40" i="23" s="1"/>
  <c r="G40" i="23" s="1"/>
  <c r="H41" i="23" s="1"/>
  <c r="E41" i="23" l="1"/>
  <c r="F41" i="23" s="1"/>
  <c r="G41" i="23" s="1"/>
  <c r="H42" i="23" s="1"/>
  <c r="E42" i="23" l="1"/>
  <c r="F42" i="23" s="1"/>
  <c r="G42" i="23" s="1"/>
  <c r="H43" i="23" s="1"/>
  <c r="E43" i="23" l="1"/>
  <c r="F43" i="23" s="1"/>
  <c r="G43" i="23" s="1"/>
  <c r="H44" i="23" s="1"/>
  <c r="E44" i="23" l="1"/>
  <c r="F44" i="23" s="1"/>
  <c r="G44" i="23" s="1"/>
  <c r="H45" i="23" s="1"/>
  <c r="E45" i="23" l="1"/>
  <c r="F45" i="23" s="1"/>
  <c r="G45" i="23" s="1"/>
  <c r="H46" i="23" s="1"/>
  <c r="E46" i="23" l="1"/>
  <c r="F46" i="23" s="1"/>
  <c r="G46" i="23" s="1"/>
  <c r="H47" i="23" s="1"/>
  <c r="E47" i="23" l="1"/>
  <c r="F47" i="23" s="1"/>
  <c r="G47" i="23" s="1"/>
  <c r="H48" i="23" s="1"/>
  <c r="E48" i="23" l="1"/>
  <c r="F48" i="23" s="1"/>
  <c r="G48" i="23" s="1"/>
  <c r="H49" i="23" s="1"/>
  <c r="E49" i="23" l="1"/>
  <c r="F49" i="23" s="1"/>
  <c r="G49" i="23"/>
  <c r="H50" i="23" s="1"/>
  <c r="E50" i="23" l="1"/>
  <c r="F50" i="23" s="1"/>
  <c r="G50" i="23" s="1"/>
  <c r="H51" i="23" s="1"/>
  <c r="E51" i="23" l="1"/>
  <c r="F51" i="23" s="1"/>
  <c r="G51" i="23" s="1"/>
  <c r="H52" i="23" s="1"/>
  <c r="E52" i="23" l="1"/>
  <c r="F52" i="23" s="1"/>
  <c r="G52" i="23" s="1"/>
  <c r="H53" i="23" s="1"/>
  <c r="E53" i="23" l="1"/>
  <c r="F53" i="23" s="1"/>
  <c r="G53" i="23" s="1"/>
  <c r="H54" i="23" s="1"/>
  <c r="E54" i="23" l="1"/>
  <c r="F54" i="23" s="1"/>
  <c r="G54" i="23" s="1"/>
  <c r="H55" i="23" s="1"/>
  <c r="E55" i="23" l="1"/>
  <c r="F55" i="23" s="1"/>
  <c r="G55" i="23" s="1"/>
  <c r="H56" i="23" s="1"/>
  <c r="E56" i="23" l="1"/>
  <c r="F56" i="23" s="1"/>
  <c r="G56" i="23" s="1"/>
  <c r="H57" i="23" s="1"/>
  <c r="E57" i="23" l="1"/>
  <c r="F57" i="23" s="1"/>
  <c r="G57" i="23" s="1"/>
  <c r="H58" i="23" s="1"/>
  <c r="E58" i="23" l="1"/>
  <c r="F58" i="23" s="1"/>
  <c r="G58" i="23" s="1"/>
  <c r="H59" i="23" s="1"/>
  <c r="E59" i="23" l="1"/>
  <c r="F59" i="23" s="1"/>
  <c r="G59" i="23" s="1"/>
  <c r="H60" i="23" s="1"/>
  <c r="E60" i="23" l="1"/>
  <c r="F60" i="23" s="1"/>
  <c r="G60" i="23" s="1"/>
  <c r="H61" i="23" s="1"/>
  <c r="E61" i="23" l="1"/>
  <c r="F61" i="23" s="1"/>
  <c r="G61" i="23" s="1"/>
  <c r="H62" i="23" s="1"/>
  <c r="E62" i="23" l="1"/>
  <c r="F62" i="23" s="1"/>
  <c r="G62" i="23" s="1"/>
  <c r="H63" i="23" s="1"/>
  <c r="E63" i="23" l="1"/>
  <c r="F63" i="23" s="1"/>
  <c r="G63" i="23" s="1"/>
  <c r="H64" i="23" s="1"/>
  <c r="E64" i="23" l="1"/>
  <c r="F64" i="23" s="1"/>
  <c r="G64" i="23" s="1"/>
  <c r="H65" i="23" s="1"/>
  <c r="E65" i="23" l="1"/>
  <c r="F65" i="23" s="1"/>
  <c r="G65" i="23" s="1"/>
  <c r="H66" i="23" s="1"/>
  <c r="E66" i="23" l="1"/>
  <c r="F66" i="23" s="1"/>
  <c r="G66" i="23"/>
  <c r="H67" i="23" s="1"/>
  <c r="E67" i="23" l="1"/>
  <c r="F67" i="23" s="1"/>
  <c r="G67" i="23" s="1"/>
  <c r="H68" i="23" s="1"/>
  <c r="E68" i="23" l="1"/>
  <c r="F68" i="23" s="1"/>
  <c r="G68" i="23" s="1"/>
  <c r="H69" i="23" s="1"/>
  <c r="E69" i="23" l="1"/>
  <c r="F69" i="23" s="1"/>
  <c r="G69" i="23" s="1"/>
  <c r="H70" i="23" s="1"/>
  <c r="E70" i="23" l="1"/>
  <c r="F70" i="23" s="1"/>
  <c r="G70" i="23" s="1"/>
  <c r="M15" i="21" l="1"/>
  <c r="M17" i="21" s="1"/>
  <c r="K15" i="21"/>
  <c r="K17" i="21" s="1"/>
  <c r="J15" i="21"/>
  <c r="J17" i="21" s="1"/>
  <c r="D15" i="21"/>
  <c r="D17" i="21" s="1"/>
  <c r="L14" i="21"/>
  <c r="N14" i="21" s="1"/>
  <c r="O14" i="21" s="1"/>
  <c r="L13" i="21"/>
  <c r="N13" i="21" s="1"/>
  <c r="O13" i="21" s="1"/>
  <c r="L12" i="21"/>
  <c r="N12" i="21" s="1"/>
  <c r="O12" i="21" s="1"/>
  <c r="L11" i="21"/>
  <c r="N11" i="21" s="1"/>
  <c r="O11" i="21" s="1"/>
  <c r="L10" i="21"/>
  <c r="N10" i="21" s="1"/>
  <c r="O10" i="21" s="1"/>
  <c r="L9" i="21"/>
  <c r="N9" i="21" s="1"/>
  <c r="O9" i="21" s="1"/>
  <c r="L8" i="21"/>
  <c r="N8" i="21" s="1"/>
  <c r="N15" i="21" l="1"/>
  <c r="O8" i="21"/>
  <c r="L15" i="21"/>
  <c r="L17" i="21" s="1"/>
  <c r="C14" i="3" s="1"/>
  <c r="N17" i="21" l="1"/>
  <c r="O17" i="21" s="1"/>
  <c r="O15" i="21"/>
  <c r="D6" i="22" l="1"/>
  <c r="D11" i="22"/>
  <c r="G34" i="3" l="1"/>
  <c r="G32" i="3" l="1"/>
  <c r="G30" i="3"/>
  <c r="G28" i="3"/>
  <c r="G26" i="3"/>
  <c r="C7" i="20"/>
  <c r="C25" i="3" s="1"/>
  <c r="C18" i="19"/>
  <c r="C30" i="5" s="1"/>
  <c r="C101" i="20"/>
  <c r="C99" i="20"/>
  <c r="C94" i="20"/>
  <c r="C95" i="20" s="1"/>
  <c r="C89" i="20"/>
  <c r="C82" i="20"/>
  <c r="C33" i="20"/>
  <c r="C80" i="20"/>
  <c r="C76" i="20"/>
  <c r="C73" i="20"/>
  <c r="C62" i="20"/>
  <c r="C64" i="20"/>
  <c r="C68" i="20" s="1"/>
  <c r="C24" i="20"/>
  <c r="C31" i="3" s="1"/>
  <c r="C29" i="3"/>
  <c r="D17" i="20"/>
  <c r="D18" i="20" s="1"/>
  <c r="D19" i="20" s="1"/>
  <c r="D29" i="3" s="1"/>
  <c r="C17" i="20"/>
  <c r="C18" i="20"/>
  <c r="C19" i="20" s="1"/>
  <c r="D12" i="20"/>
  <c r="D27" i="3" s="1"/>
  <c r="C12" i="20"/>
  <c r="C27" i="3" s="1"/>
  <c r="D7" i="20"/>
  <c r="D25" i="3" s="1"/>
  <c r="D4" i="19"/>
  <c r="C4" i="19"/>
  <c r="G27" i="3" l="1"/>
  <c r="G29" i="3"/>
  <c r="G25" i="3"/>
  <c r="D49" i="20"/>
  <c r="C49" i="20"/>
  <c r="D46" i="20"/>
  <c r="C46" i="20"/>
  <c r="D33" i="20"/>
  <c r="D42" i="20"/>
  <c r="C42" i="20"/>
  <c r="D39" i="20"/>
  <c r="C39" i="20"/>
  <c r="D24" i="19"/>
  <c r="D32" i="5" s="1"/>
  <c r="C24" i="19"/>
  <c r="C32" i="5" s="1"/>
  <c r="E32" i="5" s="1"/>
  <c r="D24" i="5"/>
  <c r="C24" i="5"/>
  <c r="E27" i="5"/>
  <c r="E25" i="5"/>
  <c r="D27" i="20"/>
  <c r="D33" i="3" s="1"/>
  <c r="C27" i="20"/>
  <c r="C33" i="3" s="1"/>
  <c r="L26" i="20"/>
  <c r="D24" i="20"/>
  <c r="D31" i="3" s="1"/>
  <c r="G31" i="3" s="1"/>
  <c r="D63" i="5"/>
  <c r="C63" i="5"/>
  <c r="D21" i="19"/>
  <c r="C21" i="19"/>
  <c r="D18" i="19"/>
  <c r="D30" i="5" s="1"/>
  <c r="E30" i="5" s="1"/>
  <c r="D15" i="19"/>
  <c r="D28" i="5" s="1"/>
  <c r="C15" i="19"/>
  <c r="C28" i="5" s="1"/>
  <c r="L17" i="19"/>
  <c r="D10" i="19"/>
  <c r="C10" i="19"/>
  <c r="D7" i="19"/>
  <c r="D26" i="5" s="1"/>
  <c r="C26" i="5"/>
  <c r="M10" i="19"/>
  <c r="C19" i="18"/>
  <c r="D19" i="18" s="1"/>
  <c r="E19" i="18" s="1"/>
  <c r="C10" i="18"/>
  <c r="D10" i="18" s="1"/>
  <c r="E10" i="18" s="1"/>
  <c r="D21" i="18"/>
  <c r="E21" i="18" s="1"/>
  <c r="D20" i="18"/>
  <c r="E20" i="18" s="1"/>
  <c r="D18" i="18"/>
  <c r="E18" i="18" s="1"/>
  <c r="D17" i="18"/>
  <c r="E17" i="18" s="1"/>
  <c r="D15" i="18"/>
  <c r="E15" i="18" s="1"/>
  <c r="E13" i="18"/>
  <c r="D12" i="18"/>
  <c r="E12" i="18" s="1"/>
  <c r="E11" i="18"/>
  <c r="D9" i="18"/>
  <c r="E9" i="18" s="1"/>
  <c r="E8" i="18"/>
  <c r="D7" i="18"/>
  <c r="E7" i="18" s="1"/>
  <c r="E6" i="18"/>
  <c r="D5" i="18"/>
  <c r="E5" i="18" s="1"/>
  <c r="D3" i="18"/>
  <c r="E3" i="18" s="1"/>
  <c r="E14" i="18"/>
  <c r="G33" i="3" l="1"/>
  <c r="E24" i="5"/>
  <c r="E26" i="5"/>
  <c r="E28" i="5"/>
  <c r="E22" i="18"/>
  <c r="C11" i="3" s="1"/>
  <c r="D22" i="18"/>
  <c r="C22" i="18"/>
  <c r="C8" i="3" s="1"/>
  <c r="G8" i="3" s="1"/>
  <c r="L29" i="3"/>
  <c r="E64" i="5"/>
  <c r="E60" i="5"/>
  <c r="E63" i="5"/>
  <c r="F63" i="17"/>
  <c r="F56" i="17"/>
  <c r="E30" i="17"/>
  <c r="F38" i="17" s="1"/>
  <c r="F4" i="17"/>
  <c r="E30" i="16"/>
  <c r="F38" i="16" s="1"/>
  <c r="F4" i="16"/>
  <c r="F27" i="17"/>
  <c r="F27" i="16"/>
  <c r="G48" i="3"/>
  <c r="F56" i="3"/>
  <c r="D11" i="3"/>
  <c r="A64" i="3"/>
  <c r="A37" i="3"/>
  <c r="A36" i="3"/>
  <c r="G43" i="3"/>
  <c r="G46" i="3"/>
  <c r="C12" i="5"/>
  <c r="D12" i="5"/>
  <c r="G13" i="3"/>
  <c r="F51" i="11"/>
  <c r="F55" i="11" s="1"/>
  <c r="F53" i="11"/>
  <c r="E53" i="11"/>
  <c r="E51" i="11"/>
  <c r="D36" i="3"/>
  <c r="E42" i="5"/>
  <c r="E40" i="5"/>
  <c r="D37" i="3"/>
  <c r="C37" i="3"/>
  <c r="C36" i="3"/>
  <c r="E19" i="5"/>
  <c r="E20" i="5"/>
  <c r="B83" i="5"/>
  <c r="B76" i="3"/>
  <c r="G54" i="3"/>
  <c r="G55" i="3"/>
  <c r="D17" i="5"/>
  <c r="C17" i="5"/>
  <c r="E18" i="5"/>
  <c r="A1" i="5"/>
  <c r="A1" i="3"/>
  <c r="E45" i="5"/>
  <c r="E44" i="5"/>
  <c r="E43" i="5"/>
  <c r="E41" i="5"/>
  <c r="E37" i="5"/>
  <c r="E36" i="5"/>
  <c r="E21" i="5"/>
  <c r="E16" i="5"/>
  <c r="E15" i="5"/>
  <c r="G47" i="3"/>
  <c r="G14" i="3"/>
  <c r="E8" i="5"/>
  <c r="E9" i="5"/>
  <c r="G44" i="3"/>
  <c r="E13" i="5"/>
  <c r="E11" i="3"/>
  <c r="F11" i="3"/>
  <c r="E35" i="5"/>
  <c r="E55" i="11" l="1"/>
  <c r="K25" i="25"/>
  <c r="F42" i="17"/>
  <c r="F50" i="17" s="1"/>
  <c r="F65" i="17" s="1"/>
  <c r="F42" i="16"/>
  <c r="F50" i="16" s="1"/>
  <c r="E12" i="5"/>
  <c r="E17" i="5"/>
  <c r="C38" i="5"/>
  <c r="C46" i="5" s="1"/>
  <c r="C47" i="5" s="1"/>
  <c r="D38" i="5"/>
  <c r="D46" i="5" s="1"/>
  <c r="D57" i="5" s="1"/>
  <c r="F51" i="16"/>
  <c r="F52" i="16" s="1"/>
  <c r="G11" i="3"/>
  <c r="G22" i="3"/>
  <c r="G21" i="3"/>
  <c r="G19" i="3"/>
  <c r="C38" i="3"/>
  <c r="D38" i="3"/>
  <c r="D41" i="3" s="1"/>
  <c r="G20" i="3"/>
  <c r="A65" i="3"/>
  <c r="A66" i="3"/>
  <c r="C41" i="3" l="1"/>
  <c r="D6" i="25"/>
  <c r="D18" i="25" s="1"/>
  <c r="C50" i="3"/>
  <c r="C52" i="3" s="1"/>
  <c r="C6" i="25"/>
  <c r="D58" i="5"/>
  <c r="C57" i="5"/>
  <c r="D62" i="5"/>
  <c r="D59" i="5"/>
  <c r="D61" i="5"/>
  <c r="E46" i="5"/>
  <c r="D47" i="5"/>
  <c r="E38" i="5"/>
  <c r="D50" i="3"/>
  <c r="D52" i="3" s="1"/>
  <c r="D58" i="3" s="1"/>
  <c r="C58" i="3" l="1"/>
  <c r="F37" i="3"/>
  <c r="G37" i="3" s="1"/>
  <c r="C28" i="25"/>
  <c r="C56" i="3"/>
  <c r="C18" i="25"/>
  <c r="K18" i="25" s="1"/>
  <c r="K6" i="25"/>
  <c r="C62" i="5"/>
  <c r="E62" i="5" s="1"/>
  <c r="C58" i="5"/>
  <c r="E58" i="5" s="1"/>
  <c r="D65" i="5"/>
  <c r="C61" i="5"/>
  <c r="C59" i="5"/>
  <c r="E59" i="5" s="1"/>
  <c r="E57" i="5"/>
  <c r="F36" i="3"/>
  <c r="G36" i="3" s="1"/>
  <c r="D56" i="3" l="1"/>
  <c r="E61" i="5"/>
  <c r="C65" i="5"/>
  <c r="K20" i="25" s="1"/>
  <c r="D70" i="5"/>
  <c r="D72" i="5" s="1"/>
  <c r="F38" i="3"/>
  <c r="F41" i="3" l="1"/>
  <c r="G56" i="3"/>
  <c r="K26" i="25"/>
  <c r="K28" i="25" s="1"/>
  <c r="C70" i="5"/>
  <c r="E70" i="5" s="1"/>
  <c r="E65" i="5"/>
  <c r="F50" i="3"/>
  <c r="F64" i="3" l="1"/>
  <c r="F52" i="3"/>
  <c r="F58" i="3" s="1"/>
  <c r="C72" i="5"/>
  <c r="E72" i="5" s="1"/>
  <c r="G23" i="3"/>
  <c r="G17" i="3"/>
  <c r="G18" i="3" l="1"/>
  <c r="E38" i="3" l="1"/>
  <c r="E50" i="3" l="1"/>
  <c r="G52" i="3" s="1"/>
  <c r="G38" i="3"/>
  <c r="G41" i="3" l="1"/>
  <c r="G58" i="3" s="1"/>
  <c r="G50" i="3"/>
</calcChain>
</file>

<file path=xl/sharedStrings.xml><?xml version="1.0" encoding="utf-8"?>
<sst xmlns="http://schemas.openxmlformats.org/spreadsheetml/2006/main" count="758" uniqueCount="464">
  <si>
    <t>Balance of Tax Payable/(Refundable)</t>
  </si>
  <si>
    <t>N/A</t>
  </si>
  <si>
    <t>Less: PAYG Instalments Paid</t>
  </si>
  <si>
    <t>Group Total</t>
  </si>
  <si>
    <t>Interest</t>
  </si>
  <si>
    <t>1. Lists the estimated income for businesses and associated individuals for the tax year.</t>
  </si>
  <si>
    <t>Other:</t>
  </si>
  <si>
    <t>Add Estimated Investment Income: -</t>
  </si>
  <si>
    <t>Less Tax Planning Adjustments: -</t>
  </si>
  <si>
    <t>Plus Tax Adjustments: -</t>
  </si>
  <si>
    <t>Less Accounting Adjustments: -</t>
  </si>
  <si>
    <t>Add Other Income/Accounting Adjustments: -</t>
  </si>
  <si>
    <t>Name</t>
  </si>
  <si>
    <t>Date</t>
  </si>
  <si>
    <t>Preparer:</t>
  </si>
  <si>
    <t>Reviewer:</t>
  </si>
  <si>
    <t>Firm Name</t>
  </si>
  <si>
    <t>Business Tax Planning Estimates</t>
  </si>
  <si>
    <t>Personal Tax Planning Estimates</t>
  </si>
  <si>
    <t>Group Name:</t>
  </si>
  <si>
    <t>(NOTE: the above amount helps guide the estimate of Projected Profit / (Loss) below. It is not included in the totals below.)</t>
  </si>
  <si>
    <t>IMPORTANT NOTE:</t>
  </si>
  <si>
    <t>Add: Franking Credits on above franked dividends</t>
  </si>
  <si>
    <t>2. Lists the estimated tax payable for all associated individuals and companies for the tax year.</t>
  </si>
  <si>
    <t>Name of Company / Trust --&gt;</t>
  </si>
  <si>
    <t>Name of individual (Aust-Resident) Taxpayer --&gt;</t>
  </si>
  <si>
    <t>Dividends - Franked component</t>
  </si>
  <si>
    <t>Dividends - Unfranked component</t>
  </si>
  <si>
    <t>Balance of Tax Payable / (Refundable)</t>
  </si>
  <si>
    <t>[Name]</t>
  </si>
  <si>
    <t>[Date]</t>
  </si>
  <si>
    <t>PLEASE NOTE:  This spreadsheet contains various estimates and assumptions, especially in the presentation and calculation of superannuation, wages,  and taxes.  Therefore, please carefully consider all the items and calculations on this spreadsheet, and add other items as required for each client scenario.</t>
  </si>
  <si>
    <t>TAX PLANNING WORKBOOK</t>
  </si>
  <si>
    <t>Purpose</t>
  </si>
  <si>
    <t>Instructions</t>
  </si>
  <si>
    <t xml:space="preserve">Profit / (Loss) as at: </t>
  </si>
  <si>
    <t>Prepared By:</t>
  </si>
  <si>
    <t>Prepared On:</t>
  </si>
  <si>
    <t xml:space="preserve">Gross Wages as at: </t>
  </si>
  <si>
    <t>Tax Payable BEFORE Tax Planning Strategies</t>
  </si>
  <si>
    <t>Add Trust Distributions from Associated Entities: -</t>
  </si>
  <si>
    <t>Yes</t>
  </si>
  <si>
    <t>No</t>
  </si>
  <si>
    <t>Capital Gains - Taxable Amount</t>
  </si>
  <si>
    <t>PAYG Withholding on the above Gross Wages:</t>
  </si>
  <si>
    <t>Add / Less Tax Planning Adjustments (detail below): -</t>
  </si>
  <si>
    <t>TAX SAVINGS FROM TAX PLANNING STRATEGIES -&gt;</t>
  </si>
  <si>
    <t>3. Can be used to show clients tax payable before and after your tax planning adjustments, reinforcing the value of your advice.</t>
  </si>
  <si>
    <t>+ Medicare Levy (if an Aust. resident taxpayer)</t>
  </si>
  <si>
    <t>- Low Income Tax Offset (if an Aust. resident taxpayer)</t>
  </si>
  <si>
    <r>
      <t xml:space="preserve">Estimated Taxable Income </t>
    </r>
    <r>
      <rPr>
        <b/>
        <sz val="8"/>
        <color indexed="9"/>
        <rFont val="Segoe UI"/>
        <family val="2"/>
      </rPr>
      <t>(BEFORE Tax Planning adjustments)</t>
    </r>
  </si>
  <si>
    <r>
      <t xml:space="preserve">Current Marginal Tax Rate </t>
    </r>
    <r>
      <rPr>
        <b/>
        <sz val="8"/>
        <color indexed="9"/>
        <rFont val="Segoe UI"/>
        <family val="2"/>
      </rPr>
      <t>(BEFORE Tax Planning adj'ts)</t>
    </r>
  </si>
  <si>
    <r>
      <t xml:space="preserve">2. Use the </t>
    </r>
    <r>
      <rPr>
        <b/>
        <sz val="11"/>
        <rFont val="Segoe UI"/>
        <family val="2"/>
      </rPr>
      <t>BUSINESS</t>
    </r>
    <r>
      <rPr>
        <sz val="11"/>
        <rFont val="Segoe UI"/>
        <family val="2"/>
      </rPr>
      <t xml:space="preserve"> spreadsheet to estimate income and tax payable for all business entities.</t>
    </r>
  </si>
  <si>
    <r>
      <t xml:space="preserve">3. Use the </t>
    </r>
    <r>
      <rPr>
        <b/>
        <sz val="11"/>
        <rFont val="Segoe UI"/>
        <family val="2"/>
      </rPr>
      <t>PERSONAL</t>
    </r>
    <r>
      <rPr>
        <sz val="11"/>
        <rFont val="Segoe UI"/>
        <family val="2"/>
      </rPr>
      <t xml:space="preserve"> spreadsheet to estimate income and tax payable for all associated individuals.</t>
    </r>
  </si>
  <si>
    <r>
      <t>1. Enter data within the LIGHT GREY</t>
    </r>
    <r>
      <rPr>
        <b/>
        <sz val="11"/>
        <rFont val="Segoe UI"/>
        <family val="2"/>
      </rPr>
      <t xml:space="preserve"> </t>
    </r>
    <r>
      <rPr>
        <sz val="11"/>
        <rFont val="Segoe UI"/>
        <family val="2"/>
      </rPr>
      <t xml:space="preserve">cells </t>
    </r>
    <r>
      <rPr>
        <b/>
        <u/>
        <sz val="11"/>
        <rFont val="Segoe UI"/>
        <family val="2"/>
      </rPr>
      <t>ONLY</t>
    </r>
    <r>
      <rPr>
        <sz val="11"/>
        <rFont val="Segoe UI"/>
        <family val="2"/>
      </rPr>
      <t>. Start by entering the details in the above LIGHT GREY cells.</t>
    </r>
  </si>
  <si>
    <t>Less Distribution of Trust Income:</t>
  </si>
  <si>
    <t>Total Undistributed Income</t>
  </si>
  <si>
    <t>These tax planning projections have been prepared by us based on financial information and assumptions provided to us by the above Clients. We do not express any opinion on the tax planning projections, nor accept any responsibility for the financial information and assumptions from which the tax planning projections have been prepared. These tax planning projections have been prepared at the request of the above Clients and neither we nor any of our employees accept responsibility on any grounds whatsoever to any other party.</t>
  </si>
  <si>
    <t>Directors Fees</t>
  </si>
  <si>
    <t>Fines and Penalties</t>
  </si>
  <si>
    <t>Wages</t>
  </si>
  <si>
    <t>Less  Deductions: -</t>
  </si>
  <si>
    <t xml:space="preserve">Laundry </t>
  </si>
  <si>
    <t>Donation</t>
  </si>
  <si>
    <t>Cost of Management affairs</t>
  </si>
  <si>
    <t>Carry Forward Loss</t>
  </si>
  <si>
    <t>xxx xxxxx xxx xxx xxx</t>
  </si>
  <si>
    <t>Ref No</t>
  </si>
  <si>
    <t>PY000285</t>
  </si>
  <si>
    <t>07/07/2017,</t>
  </si>
  <si>
    <t>Michael D Cassar</t>
  </si>
  <si>
    <t>PY000291</t>
  </si>
  <si>
    <t>14/07/2017,</t>
  </si>
  <si>
    <t>PY000297</t>
  </si>
  <si>
    <t>21/07/2017,</t>
  </si>
  <si>
    <t>PY000303</t>
  </si>
  <si>
    <t>28/07/2017,</t>
  </si>
  <si>
    <t>PY000309</t>
  </si>
  <si>
    <t>04/08/2017,</t>
  </si>
  <si>
    <t>PY000315</t>
  </si>
  <si>
    <t>11/08/2017,</t>
  </si>
  <si>
    <t>PY000321</t>
  </si>
  <si>
    <t>18/08/2017,</t>
  </si>
  <si>
    <t>PY000327</t>
  </si>
  <si>
    <t>25/08/2017,</t>
  </si>
  <si>
    <t>PY000333</t>
  </si>
  <si>
    <t>01/09/2017,</t>
  </si>
  <si>
    <t>PY000339</t>
  </si>
  <si>
    <t>08/09/2017,</t>
  </si>
  <si>
    <t>PY000345</t>
  </si>
  <si>
    <t>15/09/2017,</t>
  </si>
  <si>
    <t>PY000351</t>
  </si>
  <si>
    <t>22/09/2017,</t>
  </si>
  <si>
    <t>PY000357</t>
  </si>
  <si>
    <t>29/09/2017,</t>
  </si>
  <si>
    <t>PY000377</t>
  </si>
  <si>
    <t>06/10/2017,</t>
  </si>
  <si>
    <t>PY000383</t>
  </si>
  <si>
    <t>13/10/2017,</t>
  </si>
  <si>
    <t>PY000389</t>
  </si>
  <si>
    <t>20/10/2017,</t>
  </si>
  <si>
    <t>PY000395</t>
  </si>
  <si>
    <t>27/10/2017,</t>
  </si>
  <si>
    <t>PY000401</t>
  </si>
  <si>
    <t>03/11/2017,</t>
  </si>
  <si>
    <t>PY000407</t>
  </si>
  <si>
    <t>10/11/2017,</t>
  </si>
  <si>
    <t>PY000413</t>
  </si>
  <si>
    <t>17/11/2017,</t>
  </si>
  <si>
    <t>PY000419</t>
  </si>
  <si>
    <t>24/11/2017,</t>
  </si>
  <si>
    <t>PY000425</t>
  </si>
  <si>
    <t>01/12/2017,</t>
  </si>
  <si>
    <t>PY000437</t>
  </si>
  <si>
    <t>15/12/2017,</t>
  </si>
  <si>
    <t>PY000443</t>
  </si>
  <si>
    <t>22/12/2017,</t>
  </si>
  <si>
    <t>PY000449</t>
  </si>
  <si>
    <t>29/12/2017,</t>
  </si>
  <si>
    <t>PY000455</t>
  </si>
  <si>
    <t>05/01/2018,</t>
  </si>
  <si>
    <t>PY000464</t>
  </si>
  <si>
    <t>12/01/2018,</t>
  </si>
  <si>
    <t>PY000469</t>
  </si>
  <si>
    <t>19/01/2018,</t>
  </si>
  <si>
    <t>PY000474</t>
  </si>
  <si>
    <t>26/01/2018,</t>
  </si>
  <si>
    <t>PY000479</t>
  </si>
  <si>
    <t>02/02/2018,</t>
  </si>
  <si>
    <t>PY000485</t>
  </si>
  <si>
    <t>09/02/2018,</t>
  </si>
  <si>
    <t>PY000491</t>
  </si>
  <si>
    <t>16/02/2018,</t>
  </si>
  <si>
    <t>PY000496</t>
  </si>
  <si>
    <t>23/02/2018,</t>
  </si>
  <si>
    <t>PY000504</t>
  </si>
  <si>
    <t>02/03/2018,</t>
  </si>
  <si>
    <t>PY000509</t>
  </si>
  <si>
    <t>09/03/2018,</t>
  </si>
  <si>
    <t>PY000514</t>
  </si>
  <si>
    <t>16/03/2018,</t>
  </si>
  <si>
    <t>PY000519</t>
  </si>
  <si>
    <t>23/03/2018,</t>
  </si>
  <si>
    <t>PY000524</t>
  </si>
  <si>
    <t>30/03/2018,</t>
  </si>
  <si>
    <t>PY000531</t>
  </si>
  <si>
    <t>06/04/2018,</t>
  </si>
  <si>
    <t>PY000536</t>
  </si>
  <si>
    <t>14/04/2018,</t>
  </si>
  <si>
    <t>PY000541</t>
  </si>
  <si>
    <t>20/04/2018,</t>
  </si>
  <si>
    <t>PY000546</t>
  </si>
  <si>
    <t>27/04/2018,</t>
  </si>
  <si>
    <t>PY000551</t>
  </si>
  <si>
    <t>04/05/2018,</t>
  </si>
  <si>
    <t>PY000556</t>
  </si>
  <si>
    <t>11/05/2018,</t>
  </si>
  <si>
    <t>PY000561</t>
  </si>
  <si>
    <t>18/05/2018,</t>
  </si>
  <si>
    <t>PY000566</t>
  </si>
  <si>
    <t>25/05/2018,</t>
  </si>
  <si>
    <t>Week</t>
  </si>
  <si>
    <t>PAYG</t>
  </si>
  <si>
    <t xml:space="preserve">Michael D Cassar - Wages &amp; PAYG  </t>
  </si>
  <si>
    <t>Total Wages as per MYOB - GL</t>
  </si>
  <si>
    <t>Projection for June 2018 ( 5weeks)</t>
  </si>
  <si>
    <t>Total Wages  / PAYG for 2018</t>
  </si>
  <si>
    <t xml:space="preserve">Motor Vehicle Expenses </t>
  </si>
  <si>
    <t xml:space="preserve">TAX RECONCILIATION </t>
  </si>
  <si>
    <t>Index WP:</t>
  </si>
  <si>
    <t>NAME OF CLIENT:</t>
  </si>
  <si>
    <t>Date:</t>
  </si>
  <si>
    <t>PERIOD ENDED:</t>
  </si>
  <si>
    <t>Calculation of Taxable Income</t>
  </si>
  <si>
    <t>$</t>
  </si>
  <si>
    <t>Profit/(Loss) per Accounts</t>
  </si>
  <si>
    <r>
      <t>Add</t>
    </r>
    <r>
      <rPr>
        <b/>
        <sz val="10"/>
        <rFont val="Arial"/>
        <family val="2"/>
      </rPr>
      <t xml:space="preserve"> Non Deductible Expenses / Assessable Income</t>
    </r>
  </si>
  <si>
    <t>Franking Credits</t>
  </si>
  <si>
    <t>Tax Distribution Received</t>
  </si>
  <si>
    <r>
      <t>Less</t>
    </r>
    <r>
      <rPr>
        <b/>
        <sz val="10"/>
        <rFont val="Arial"/>
        <family val="2"/>
      </rPr>
      <t xml:space="preserve"> Deductible Expenses / Non Assessable Income </t>
    </r>
  </si>
  <si>
    <t>Net Taxable Capital Gain</t>
  </si>
  <si>
    <t>Accounting Capital Gain</t>
  </si>
  <si>
    <t>Accounting Distribution Received</t>
  </si>
  <si>
    <t>Brought Forward Income Tax Losses</t>
  </si>
  <si>
    <t>Taxable Income/(Loss) for Year</t>
  </si>
  <si>
    <r>
      <t>Conversion of Excess Franking Credits to Losses</t>
    </r>
    <r>
      <rPr>
        <sz val="8"/>
        <rFont val="Arial"/>
        <family val="2"/>
      </rPr>
      <t xml:space="preserve"> (franking credits / 0.275)</t>
    </r>
  </si>
  <si>
    <t>Tax Liability</t>
  </si>
  <si>
    <t>Tax on Taxable Income @</t>
  </si>
  <si>
    <t>Less TFN Tax</t>
  </si>
  <si>
    <t>Less Franking Credits</t>
  </si>
  <si>
    <t xml:space="preserve">Less Foreign Income Tax Offset </t>
  </si>
  <si>
    <t>Less Entrepreneurs Tax Offset</t>
  </si>
  <si>
    <t>Less PAYG Tax Instalments Paid</t>
  </si>
  <si>
    <t>Tax Payable/(Refundable) on Assessment</t>
  </si>
  <si>
    <t>Distribution</t>
  </si>
  <si>
    <t xml:space="preserve">Financial Year </t>
  </si>
  <si>
    <t>For the Year Ending 30 June 2020</t>
  </si>
  <si>
    <t>Projected Profit / (Loss) as at 30 June 2020</t>
  </si>
  <si>
    <t>Estimated Profit / (Loss) as at 30 June 2020</t>
  </si>
  <si>
    <t>Super Payable as on 30/06/2020</t>
  </si>
  <si>
    <t>Estimated Taxable Income as at 30 June 2020</t>
  </si>
  <si>
    <t>Projected Gross Wages as at 30 June 2020</t>
  </si>
  <si>
    <t>Estimated Taxable Income as at 30 JUNE 2020</t>
  </si>
  <si>
    <t>Depreciation - Accounting</t>
  </si>
  <si>
    <t>Accrued Super Contributions from 2019</t>
  </si>
  <si>
    <t>STS/SBE - Trade Creditors @ 30 June 19</t>
  </si>
  <si>
    <t>(excl GST)</t>
  </si>
  <si>
    <t xml:space="preserve">  </t>
  </si>
  <si>
    <t>Partners Salary</t>
  </si>
  <si>
    <t>Entertainment</t>
  </si>
  <si>
    <t>TFN Tax</t>
  </si>
  <si>
    <t>Provision for Doubtful Debts</t>
  </si>
  <si>
    <t>Provision for AL / LSL</t>
  </si>
  <si>
    <t>Amortisation of Finance Leased Assets</t>
  </si>
  <si>
    <t>Depreciation - Tax</t>
  </si>
  <si>
    <t>STS/SBE - Trade Debtors @ 30 June 19</t>
  </si>
  <si>
    <t>WIP Movement</t>
  </si>
  <si>
    <t>Income Tax Losses Carried Forward</t>
  </si>
  <si>
    <t>Accrued Super Contributions from 2020</t>
  </si>
  <si>
    <t>STS/SBE - Trade Creditors @ 30 June 20</t>
  </si>
  <si>
    <t>STS/SBE - Trade Debtors @ 30 June 20</t>
  </si>
  <si>
    <t>Economic Relief Measures for Australian Citizens</t>
  </si>
  <si>
    <t>Allowance1</t>
  </si>
  <si>
    <t>Allowance 2</t>
  </si>
  <si>
    <t>- Seniors and pensioners tax offset</t>
  </si>
  <si>
    <t>- Low And Middle Income Tax Offset (if an Australian Resident Tax payer)</t>
  </si>
  <si>
    <t>Add: Medicare Levy Surcharge (if applicable)</t>
  </si>
  <si>
    <t>Any Private Health Insurance Applied</t>
  </si>
  <si>
    <t>Yes =0 / No =1</t>
  </si>
  <si>
    <t>Age</t>
  </si>
  <si>
    <t>Economic Relief Measures for Business</t>
  </si>
  <si>
    <t>50% accelerated depreciation for assets costing over $150,000 (which are not eligible for instant write off).
Applies to assets acquired from 12th March 2020 to 30th June 2021.</t>
  </si>
  <si>
    <t>Not Elegible</t>
  </si>
  <si>
    <t>Wage Subsidy for Trainees and Apprentices</t>
  </si>
  <si>
    <r>
      <rPr>
        <b/>
        <sz val="11"/>
        <rFont val="Arial"/>
        <family val="2"/>
      </rPr>
      <t>Account number</t>
    </r>
  </si>
  <si>
    <r>
      <rPr>
        <b/>
        <sz val="11"/>
        <rFont val="Arial"/>
        <family val="2"/>
      </rPr>
      <t>Account Name</t>
    </r>
  </si>
  <si>
    <r>
      <rPr>
        <sz val="9"/>
        <rFont val="Arial"/>
        <family val="2"/>
      </rPr>
      <t>4-2400</t>
    </r>
  </si>
  <si>
    <r>
      <rPr>
        <sz val="9"/>
        <rFont val="Arial"/>
        <family val="2"/>
      </rPr>
      <t>5-2800</t>
    </r>
  </si>
  <si>
    <r>
      <rPr>
        <sz val="9"/>
        <rFont val="Arial"/>
        <family val="2"/>
      </rPr>
      <t>6-1000</t>
    </r>
  </si>
  <si>
    <r>
      <rPr>
        <sz val="9"/>
        <rFont val="Arial"/>
        <family val="2"/>
      </rPr>
      <t>Accounting fees</t>
    </r>
  </si>
  <si>
    <r>
      <rPr>
        <sz val="9"/>
        <rFont val="Arial"/>
        <family val="2"/>
      </rPr>
      <t>6-1200</t>
    </r>
  </si>
  <si>
    <r>
      <rPr>
        <sz val="9"/>
        <rFont val="Arial"/>
        <family val="2"/>
      </rPr>
      <t>Advertising</t>
    </r>
  </si>
  <si>
    <r>
      <rPr>
        <sz val="9"/>
        <rFont val="Arial"/>
        <family val="2"/>
      </rPr>
      <t>6-1400</t>
    </r>
  </si>
  <si>
    <r>
      <rPr>
        <sz val="9"/>
        <rFont val="Arial"/>
        <family val="2"/>
      </rPr>
      <t>Bank charges</t>
    </r>
  </si>
  <si>
    <r>
      <rPr>
        <sz val="9"/>
        <rFont val="Arial"/>
        <family val="2"/>
      </rPr>
      <t>6-2000</t>
    </r>
  </si>
  <si>
    <r>
      <rPr>
        <sz val="9"/>
        <rFont val="Arial"/>
        <family val="2"/>
      </rPr>
      <t>Electricity &amp; gas</t>
    </r>
  </si>
  <si>
    <r>
      <rPr>
        <sz val="9"/>
        <rFont val="Arial"/>
        <family val="2"/>
      </rPr>
      <t>6-2600</t>
    </r>
  </si>
  <si>
    <r>
      <rPr>
        <sz val="9"/>
        <rFont val="Arial"/>
        <family val="2"/>
      </rPr>
      <t>Insurance</t>
    </r>
  </si>
  <si>
    <r>
      <rPr>
        <sz val="9"/>
        <rFont val="Arial"/>
        <family val="2"/>
      </rPr>
      <t>6-2800</t>
    </r>
  </si>
  <si>
    <r>
      <rPr>
        <sz val="9"/>
        <rFont val="Arial"/>
        <family val="2"/>
      </rPr>
      <t>Interest paid</t>
    </r>
  </si>
  <si>
    <r>
      <rPr>
        <sz val="9"/>
        <rFont val="Arial"/>
        <family val="2"/>
      </rPr>
      <t>6-3000</t>
    </r>
  </si>
  <si>
    <r>
      <rPr>
        <sz val="9"/>
        <rFont val="Arial"/>
        <family val="2"/>
      </rPr>
      <t>Internet</t>
    </r>
  </si>
  <si>
    <r>
      <rPr>
        <sz val="9"/>
        <rFont val="Arial"/>
        <family val="2"/>
      </rPr>
      <t>6-3100</t>
    </r>
  </si>
  <si>
    <r>
      <rPr>
        <sz val="9"/>
        <rFont val="Arial"/>
        <family val="2"/>
      </rPr>
      <t>Filing fee</t>
    </r>
  </si>
  <si>
    <r>
      <rPr>
        <sz val="9"/>
        <rFont val="Arial"/>
        <family val="2"/>
      </rPr>
      <t>6-3150</t>
    </r>
  </si>
  <si>
    <r>
      <rPr>
        <sz val="9"/>
        <rFont val="Arial"/>
        <family val="2"/>
      </rPr>
      <t>Hire purchase interest charge</t>
    </r>
  </si>
  <si>
    <r>
      <rPr>
        <sz val="9"/>
        <rFont val="Arial"/>
        <family val="2"/>
      </rPr>
      <t>6-3400</t>
    </r>
  </si>
  <si>
    <r>
      <rPr>
        <sz val="9"/>
        <rFont val="Arial"/>
        <family val="2"/>
      </rPr>
      <t>Motor vehicle expenses</t>
    </r>
  </si>
  <si>
    <r>
      <rPr>
        <sz val="9"/>
        <rFont val="Arial"/>
        <family val="2"/>
      </rPr>
      <t>6-3600</t>
    </r>
  </si>
  <si>
    <r>
      <rPr>
        <sz val="9"/>
        <rFont val="Arial"/>
        <family val="2"/>
      </rPr>
      <t>Office supplies</t>
    </r>
  </si>
  <si>
    <r>
      <rPr>
        <sz val="9"/>
        <rFont val="Arial"/>
        <family val="2"/>
      </rPr>
      <t>6-4800</t>
    </r>
  </si>
  <si>
    <r>
      <rPr>
        <sz val="9"/>
        <rFont val="Arial"/>
        <family val="2"/>
      </rPr>
      <t>Repairs &amp; maintenance</t>
    </r>
  </si>
  <si>
    <r>
      <rPr>
        <sz val="9"/>
        <rFont val="Arial"/>
        <family val="2"/>
      </rPr>
      <t>6-5400</t>
    </r>
  </si>
  <si>
    <r>
      <rPr>
        <sz val="9"/>
        <rFont val="Arial"/>
        <family val="2"/>
      </rPr>
      <t>Superannuation expense</t>
    </r>
  </si>
  <si>
    <r>
      <rPr>
        <sz val="9"/>
        <rFont val="Arial"/>
        <family val="2"/>
      </rPr>
      <t>6-5600</t>
    </r>
  </si>
  <si>
    <r>
      <rPr>
        <sz val="9"/>
        <rFont val="Arial"/>
        <family val="2"/>
      </rPr>
      <t>Telephone</t>
    </r>
  </si>
  <si>
    <r>
      <rPr>
        <sz val="9"/>
        <rFont val="Arial"/>
        <family val="2"/>
      </rPr>
      <t>6-6200</t>
    </r>
  </si>
  <si>
    <r>
      <rPr>
        <sz val="9"/>
        <rFont val="Arial"/>
        <family val="2"/>
      </rPr>
      <t>Wages &amp; salaries</t>
    </r>
  </si>
  <si>
    <t>Actual</t>
  </si>
  <si>
    <t>Profit and Loss Account</t>
  </si>
  <si>
    <t>Depreciation</t>
  </si>
  <si>
    <t>Less Expenses:</t>
  </si>
  <si>
    <t>Individual 1</t>
  </si>
  <si>
    <t>Individual 2</t>
  </si>
  <si>
    <t>YES</t>
  </si>
  <si>
    <t>Are you receiving social security, veteran and other income support recipients and eligible card holders - 1st Instalment at 31st march</t>
  </si>
  <si>
    <t>Are you receiving social security, veteran and other income support recipients and eligible card holders - 2nd Instalment , if receiving coronovirus supplements at July 2020</t>
  </si>
  <si>
    <t xml:space="preserve">Self Employed Individuals </t>
  </si>
  <si>
    <t>Early Access to Superannuation and Reduction in Minimum Drawdown</t>
  </si>
  <si>
    <t>Relief Package</t>
  </si>
  <si>
    <t>Job Seeker, Youth Allowance, Parenting and, Household , Special Benfits and Australian Citizen</t>
  </si>
  <si>
    <t>Business 1</t>
  </si>
  <si>
    <t>Business 2</t>
  </si>
  <si>
    <t>Economic Benefit</t>
  </si>
  <si>
    <t>Aged Pensioners - Additional benefit</t>
  </si>
  <si>
    <t>Financial Package - Tax Benefit</t>
  </si>
  <si>
    <t>Financial Package - Cashflow</t>
  </si>
  <si>
    <t xml:space="preserve">Small and Medium Sized Businesses and Not for Profits Organizations </t>
  </si>
  <si>
    <t>Cashflow Boost</t>
  </si>
  <si>
    <t>Amount will be determined and paid by GOVT</t>
  </si>
  <si>
    <t>PAYG for March 20 Qtrs - 100% benefit</t>
  </si>
  <si>
    <t>PAYG for June 20 Qtr  - 100% benefit</t>
  </si>
  <si>
    <t>Monthly BAS Filing - 300% Benefit</t>
  </si>
  <si>
    <t>Quartely BAS Filing  - 100% benefit</t>
  </si>
  <si>
    <t>Acutal Asset value</t>
  </si>
  <si>
    <t>Immediate Written off :Turnover for the year is Less than 500 M</t>
  </si>
  <si>
    <t>Acutual Asset Value</t>
  </si>
  <si>
    <t>Immediate Written off :</t>
  </si>
  <si>
    <t>Wages Subsidy Applicability</t>
  </si>
  <si>
    <t>ATO Admin Relief</t>
  </si>
  <si>
    <t>Deferring Tax payments upto 6 months through BAS</t>
  </si>
  <si>
    <t>Switching over to monthly BAS reporting instead of quarterly reporting to gain quicker access to GST refunds.</t>
  </si>
  <si>
    <t>Varying the PAYG Income Tax Installments for March 2020 and June 2020 Activity Statements and claiming refunds for the installments paid along with September 2019 and December 2019 Activity Statements.</t>
  </si>
  <si>
    <t>State and Territory Tax Relief measures</t>
  </si>
  <si>
    <t>State</t>
  </si>
  <si>
    <t>Queensland</t>
  </si>
  <si>
    <t>Annual Wages &gt; 6.5M</t>
  </si>
  <si>
    <t>Annual Wages</t>
  </si>
  <si>
    <t>Options</t>
  </si>
  <si>
    <t>Western Australia</t>
  </si>
  <si>
    <t>One off Grant</t>
  </si>
  <si>
    <t>if Annual Wages upto 7.5M</t>
  </si>
  <si>
    <t>Tasmania</t>
  </si>
  <si>
    <t>Industry</t>
  </si>
  <si>
    <t>All Industry</t>
  </si>
  <si>
    <t>Grant for one time</t>
  </si>
  <si>
    <t>$5000</t>
  </si>
  <si>
    <t>Victoria</t>
  </si>
  <si>
    <t>Australian Capital Territory</t>
  </si>
  <si>
    <t>Hospitality, Creative Arts and Entertainment Industries</t>
  </si>
  <si>
    <t>Annual Wages Upto $10 M</t>
  </si>
  <si>
    <t>South Australia</t>
  </si>
  <si>
    <t>Annual Wages upto $ 4 M</t>
  </si>
  <si>
    <t>Annual Wages &gt; $ 4 M</t>
  </si>
  <si>
    <t>Options - Business Afftected Significantly</t>
  </si>
  <si>
    <t>Please enter upto $150,000</t>
  </si>
  <si>
    <t>Please enter above $150,000</t>
  </si>
  <si>
    <t>Payroll Tax Grant from States</t>
  </si>
  <si>
    <t xml:space="preserve">Sales </t>
  </si>
  <si>
    <t xml:space="preserve">Purchases </t>
  </si>
  <si>
    <t>Projection computed by converting 9 months to 12 months</t>
  </si>
  <si>
    <t>Please enter in Tax planning sheet</t>
  </si>
  <si>
    <t>This wont impact current financial year</t>
  </si>
  <si>
    <t>wont impact tax position as it is a cashflow benefit</t>
  </si>
  <si>
    <t>To be entered manually</t>
  </si>
  <si>
    <t>New South Wales</t>
  </si>
  <si>
    <t>Job Keeper Payment - Self Employed where Annual Turnover &lt;$1B</t>
  </si>
  <si>
    <t>Job Keeper Payment</t>
  </si>
  <si>
    <t>Are you receiving Job Seeker, Youth Allowance, Parenting and, Household , Special Benfits and Australian Citizen?</t>
  </si>
  <si>
    <t>Job Keeper Payment Eligible</t>
  </si>
  <si>
    <t>Special Security Deeming Rates reduction - are you an Aged Pensioner?</t>
  </si>
  <si>
    <t>Immediate Written of Assets from $30,000 Upto $150,000 eligible if assets used or installed and ready for use from 12th March 2020 to 30th June 2020.</t>
  </si>
  <si>
    <r>
      <rPr>
        <b/>
        <sz val="11"/>
        <rFont val="Segoe UI"/>
        <family val="2"/>
      </rPr>
      <t>Accelerated Depreciation :</t>
    </r>
    <r>
      <rPr>
        <sz val="11"/>
        <rFont val="Segoe UI"/>
        <family val="2"/>
      </rPr>
      <t>Turnover for the year is less than 500 M</t>
    </r>
  </si>
  <si>
    <t>Is this asset purchased new?</t>
  </si>
  <si>
    <t>50% Refund of Wages Paid to Trainees / Apprentices
by Small Business where number of employee is less than 20</t>
  </si>
  <si>
    <t>No of Trainees and Apprentices</t>
  </si>
  <si>
    <t>Eligible Subsidy</t>
  </si>
  <si>
    <t>Is annual turnover &lt;$1 B, and turnover will be reduced by more than 30% relative to comparable period a year ago?</t>
  </si>
  <si>
    <t>Is annual turnover  &gt;$1 B, and turnover will be reduced by more than 50% realative to comparable period a year ago?</t>
  </si>
  <si>
    <t>Is annual turnover &gt;$1 B, and turnover will be reduced by more than 50% relative to comparable period a year ago?</t>
  </si>
  <si>
    <t>Turnover less than 50 Million and having employees</t>
  </si>
  <si>
    <t>Eligible PAYG Boost eligible from 12th March 2020</t>
  </si>
  <si>
    <t>Affected businesses can use low interest payment plans</t>
  </si>
  <si>
    <t>Payroll Tax for 2 Months</t>
  </si>
  <si>
    <t>Eligible Payroll Tax Refund</t>
  </si>
  <si>
    <t>Businesses other than, Hospitality, Tourism, Seafoods &amp; Exports Sectors</t>
  </si>
  <si>
    <t>Hospitality, Tourism, Seafoods &amp; Exports Sectors</t>
  </si>
  <si>
    <r>
      <rPr>
        <b/>
        <sz val="11"/>
        <rFont val="Segoe UI"/>
        <family val="2"/>
      </rPr>
      <t xml:space="preserve">Accelerated Depreciation : </t>
    </r>
    <r>
      <rPr>
        <sz val="11"/>
        <rFont val="Segoe UI"/>
        <family val="2"/>
      </rPr>
      <t>Turnover for the year is less than 500 M</t>
    </r>
  </si>
  <si>
    <t>Job Keeper Payment - Self Employed where Annual Turnover is &lt;$1B</t>
  </si>
  <si>
    <t>Infected by Coronavirus</t>
  </si>
  <si>
    <t>This is applicable based on the State where the client resides</t>
  </si>
  <si>
    <t>Wages paid for trainees per Quarter upto 2 Qtrs</t>
  </si>
  <si>
    <t>PAYG for January to March 20 months</t>
  </si>
  <si>
    <t>PAYG for April to June 20 Months</t>
  </si>
  <si>
    <t>Estimated Gross Income as at 30 JUNE 2020</t>
  </si>
  <si>
    <t xml:space="preserve">Job keeper Payment Eligible </t>
  </si>
  <si>
    <t>Not Taxable</t>
  </si>
  <si>
    <t>https://www.pm.gov.au/media/immediate-small-business-support-bushfire-affected-communities</t>
  </si>
  <si>
    <t>Ref</t>
  </si>
  <si>
    <t>Allowed only for Bushfire affected Postal codes</t>
  </si>
  <si>
    <t>Deferring Lodgement for BAS and PAYG upto 28 th may 2020 - December BAS</t>
  </si>
  <si>
    <t xml:space="preserve"> Impacted businesses that pay their Pay-As-You-Go Instalments quarterly are also allowed to vary these instalments to zero for the December 2019 quarter and claim a refund for any instalments made in the September 2019 quarter.</t>
  </si>
  <si>
    <t>Depreciation Schedule</t>
  </si>
  <si>
    <t>Showing Estimated Depreciation</t>
  </si>
  <si>
    <t>Number</t>
  </si>
  <si>
    <t>Type</t>
  </si>
  <si>
    <t>Cost</t>
  </si>
  <si>
    <t>Rate</t>
  </si>
  <si>
    <t>Purchased</t>
  </si>
  <si>
    <t>Disposed</t>
  </si>
  <si>
    <t>Purchases</t>
  </si>
  <si>
    <t>Disposals</t>
  </si>
  <si>
    <t>Accum Dep</t>
  </si>
  <si>
    <t>Office Furniture and Equipment</t>
  </si>
  <si>
    <t>Apple iPad</t>
  </si>
  <si>
    <t>FA-0008</t>
  </si>
  <si>
    <t>Full</t>
  </si>
  <si>
    <t xml:space="preserve">Build a website </t>
  </si>
  <si>
    <t>FA-0005</t>
  </si>
  <si>
    <t>DV</t>
  </si>
  <si>
    <t>Computer Software</t>
  </si>
  <si>
    <t>FA-0003</t>
  </si>
  <si>
    <t>Laptop purchase</t>
  </si>
  <si>
    <t>FA-0001</t>
  </si>
  <si>
    <t>New Apple laptop from Coding report</t>
  </si>
  <si>
    <t>FA-0009</t>
  </si>
  <si>
    <t>SL</t>
  </si>
  <si>
    <t>Nitro</t>
  </si>
  <si>
    <t>FA-0002</t>
  </si>
  <si>
    <t>FA-0004</t>
  </si>
  <si>
    <t>Total Office Furniture and Equipment</t>
  </si>
  <si>
    <t>Total</t>
  </si>
  <si>
    <t>HP Schedule</t>
  </si>
  <si>
    <t>Monthly</t>
  </si>
  <si>
    <t>Asset Name</t>
  </si>
  <si>
    <t>Quarterly</t>
  </si>
  <si>
    <t>Half Yearly</t>
  </si>
  <si>
    <t>Loan Amount</t>
  </si>
  <si>
    <t>Yearly</t>
  </si>
  <si>
    <t>No of Installments</t>
  </si>
  <si>
    <t>Total Intallment</t>
  </si>
  <si>
    <t>Start date</t>
  </si>
  <si>
    <t>Frequency</t>
  </si>
  <si>
    <t>Down Payment</t>
  </si>
  <si>
    <t>Final Payment</t>
  </si>
  <si>
    <t>Total amount paid</t>
  </si>
  <si>
    <t>Total Interest</t>
  </si>
  <si>
    <t>Internal rate of return (IRR)</t>
  </si>
  <si>
    <t>per term</t>
  </si>
  <si>
    <t>Interest rate</t>
  </si>
  <si>
    <t>p.a approx</t>
  </si>
  <si>
    <t>Sl No</t>
  </si>
  <si>
    <t>Installment</t>
  </si>
  <si>
    <t>GST</t>
  </si>
  <si>
    <t>Principal repaid</t>
  </si>
  <si>
    <t>Outstanding Balance</t>
  </si>
  <si>
    <t>Opening Balance</t>
  </si>
  <si>
    <t>vehicle</t>
  </si>
  <si>
    <t>Salary from Company</t>
  </si>
  <si>
    <t xml:space="preserve">Less: Tax Credits </t>
  </si>
  <si>
    <t>PAYG Instalments - Paid</t>
  </si>
  <si>
    <t xml:space="preserve">Net Tax Payable </t>
  </si>
  <si>
    <t>1 July 2019 to 30 June 2020</t>
  </si>
  <si>
    <t>Tax Planning</t>
  </si>
  <si>
    <t>Less: Franking Credit</t>
  </si>
  <si>
    <t>The 2020 Tax Planning Workbook:-</t>
  </si>
  <si>
    <t>ABC GROUP</t>
  </si>
  <si>
    <t>ABC Pty Ltd</t>
  </si>
  <si>
    <t>XYZ Pty Ltd</t>
  </si>
  <si>
    <t>ABC Trust</t>
  </si>
  <si>
    <t>Mr. A</t>
  </si>
  <si>
    <t>Mrs. B</t>
  </si>
  <si>
    <t>Individual 3</t>
  </si>
  <si>
    <t>Individual 4</t>
  </si>
  <si>
    <t>Individual 5</t>
  </si>
  <si>
    <r>
      <rPr>
        <b/>
        <sz val="11"/>
        <rFont val="Segoe UI"/>
        <family val="2"/>
      </rPr>
      <t xml:space="preserve">Immediate Written off : </t>
    </r>
    <r>
      <rPr>
        <sz val="11"/>
        <rFont val="Segoe UI"/>
        <family val="2"/>
      </rPr>
      <t>Turnover for the year is less than $500 M</t>
    </r>
  </si>
  <si>
    <t>Less: Franking Credits / Other Tax Adjustments</t>
  </si>
  <si>
    <t>(NOTE: the above amounts help guide the estimate of Gross Wages and PAYG Withholding below. They are not included in the totals below.)</t>
  </si>
  <si>
    <t>Other Work Related Expenses</t>
  </si>
  <si>
    <t xml:space="preserve">ABC Trust </t>
  </si>
  <si>
    <t>Have you been affected by Bushfire</t>
  </si>
  <si>
    <t>Grant Eligible</t>
  </si>
  <si>
    <t>Depreciaiton - estimated</t>
  </si>
  <si>
    <t>Have you been  affected by Bushfire</t>
  </si>
  <si>
    <t>CY - Upto Mar'20</t>
  </si>
  <si>
    <t>Estimate - From Apr - Jun '20</t>
  </si>
  <si>
    <t>Estimated Total</t>
  </si>
  <si>
    <t>Remarks</t>
  </si>
  <si>
    <t xml:space="preserve"> Relief Package for Business</t>
  </si>
  <si>
    <t>Relief Package - Individuals</t>
  </si>
  <si>
    <t>Relief Measures - Bushfire</t>
  </si>
  <si>
    <t>Please enter as per Sapto calculation</t>
  </si>
  <si>
    <t xml:space="preserve">Less: PAYG Withholding </t>
  </si>
  <si>
    <t>is this Base Rate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</si>
</sst>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_);_(* \(#,##0.00\);_(* &quot;-&quot;??_);_(@_)"/>
    <numFmt numFmtId="165" formatCode="&quot;$&quot;#,##0;[Red]\-&quot;$&quot;#,##0"/>
    <numFmt numFmtId="166" formatCode="_-&quot;$&quot;* #,##0.00_-;\-&quot;$&quot;* #,##0.00_-;_-&quot;$&quot;* &quot;-&quot;??_-;_-@_-"/>
    <numFmt numFmtId="167" formatCode="_-* #,##0.00_-;\-* #,##0.00_-;_-* &quot;-&quot;??_-;_-@_-"/>
    <numFmt numFmtId="168" formatCode="[$-F800]dddd\,\ mmmm\ dd\,\ yyyy"/>
    <numFmt numFmtId="169" formatCode="_-[$$-C09]* #,##0.00_-;\-[$$-C09]* #,##0.00_-;_-[$$-C09]* &quot;-&quot;??_-;_-@_-"/>
    <numFmt numFmtId="170" formatCode="_-[$$-C09]* #,##0.000_-;\-[$$-C09]* #,##0.000_-;_-[$$-C09]* &quot;-&quot;??_-;_-@_-"/>
    <numFmt numFmtId="171" formatCode="0.0%"/>
    <numFmt numFmtId="172" formatCode="#,##0.00;[Red]\(#,##0.00\)"/>
    <numFmt numFmtId="173" formatCode="_(* #,##0_);_(* \(#,##0\);_(* &quot;-&quot;??_);_(@_)"/>
    <numFmt numFmtId="174" formatCode="[$$-809]#,##0.00;\-[$$-809]#,##0.00"/>
    <numFmt numFmtId="175" formatCode="0.0###%"/>
    <numFmt numFmtId="176" formatCode="d/mm/yyyy"/>
    <numFmt numFmtId="177" formatCode="d/m/yyyy;@"/>
    <numFmt numFmtId="178" formatCode="[$-409]mmmm\-yy;@"/>
    <numFmt numFmtId="179" formatCode="dd\ mmmm\ yyyy"/>
    <numFmt numFmtId="180" formatCode="_-[$$-409]* #,##0.00_ ;_-[$$-409]* \-#,##0.00\ ;_-[$$-409]* &quot;-&quot;??_ ;_-@_ "/>
  </numFmts>
  <fonts count="66" x14ac:knownFonts="1">
    <font>
      <sz val="11"/>
      <color theme="1"/>
      <name val="Calibri"/>
      <family val="2"/>
      <scheme val="minor"/>
    </font>
    <font>
      <sz val="11"/>
      <name val="Segoe UI"/>
      <family val="2"/>
    </font>
    <font>
      <b/>
      <sz val="11"/>
      <name val="Segoe UI"/>
      <family val="2"/>
    </font>
    <font>
      <sz val="12"/>
      <name val="Segoe UI"/>
      <family val="2"/>
    </font>
    <font>
      <b/>
      <sz val="12"/>
      <name val="Segoe UI"/>
      <family val="2"/>
    </font>
    <font>
      <b/>
      <sz val="8"/>
      <color indexed="9"/>
      <name val="Segoe UI"/>
      <family val="2"/>
    </font>
    <font>
      <sz val="10"/>
      <name val="Segoe UI"/>
      <family val="2"/>
    </font>
    <font>
      <b/>
      <u/>
      <sz val="11"/>
      <name val="Segoe UI"/>
      <family val="2"/>
    </font>
    <font>
      <sz val="8"/>
      <name val="Segoe UI"/>
      <family val="2"/>
    </font>
    <font>
      <b/>
      <sz val="10"/>
      <color indexed="18"/>
      <name val="Arial"/>
      <family val="2"/>
    </font>
    <font>
      <b/>
      <sz val="16"/>
      <color indexed="8"/>
      <name val="Arial"/>
      <family val="2"/>
    </font>
    <font>
      <b/>
      <sz val="14"/>
      <color indexed="8"/>
      <name val="Arial"/>
      <family val="2"/>
    </font>
    <font>
      <u/>
      <sz val="10"/>
      <color indexed="12"/>
      <name val="Arial"/>
      <family val="2"/>
    </font>
    <font>
      <b/>
      <i/>
      <sz val="14"/>
      <color indexed="8"/>
      <name val="Garamond"/>
      <family val="1"/>
    </font>
    <font>
      <b/>
      <sz val="16"/>
      <name val="Garamond"/>
      <family val="1"/>
    </font>
    <font>
      <sz val="10"/>
      <name val="Garamond"/>
      <family val="1"/>
    </font>
    <font>
      <b/>
      <sz val="10"/>
      <color indexed="8"/>
      <name val="Arial"/>
      <family val="2"/>
    </font>
    <font>
      <b/>
      <sz val="10"/>
      <name val="Arial"/>
      <family val="2"/>
    </font>
    <font>
      <b/>
      <sz val="9"/>
      <name val="Arial"/>
      <family val="2"/>
    </font>
    <font>
      <sz val="10"/>
      <name val="Arial"/>
      <family val="2"/>
    </font>
    <font>
      <b/>
      <i/>
      <sz val="10"/>
      <name val="Arial"/>
      <family val="2"/>
    </font>
    <font>
      <sz val="8"/>
      <name val="Arial"/>
      <family val="2"/>
    </font>
    <font>
      <b/>
      <sz val="8"/>
      <name val="Arial"/>
      <family val="2"/>
    </font>
    <font>
      <b/>
      <u/>
      <sz val="10"/>
      <name val="Arial"/>
      <family val="2"/>
    </font>
    <font>
      <b/>
      <sz val="10"/>
      <color indexed="10"/>
      <name val="Arial"/>
      <family val="2"/>
    </font>
    <font>
      <b/>
      <u/>
      <sz val="10"/>
      <name val="Garamond"/>
      <family val="1"/>
    </font>
    <font>
      <sz val="11"/>
      <color theme="1"/>
      <name val="Calibri"/>
      <family val="2"/>
      <scheme val="minor"/>
    </font>
    <font>
      <u/>
      <sz val="11"/>
      <color theme="10"/>
      <name val="Calibri"/>
      <family val="2"/>
      <scheme val="minor"/>
    </font>
    <font>
      <b/>
      <sz val="11"/>
      <color theme="1"/>
      <name val="Calibri"/>
      <family val="2"/>
      <scheme val="minor"/>
    </font>
    <font>
      <sz val="11"/>
      <color theme="1"/>
      <name val="Segoe UI"/>
      <family val="2"/>
    </font>
    <font>
      <b/>
      <sz val="11"/>
      <color theme="1"/>
      <name val="Segoe UI"/>
      <family val="2"/>
    </font>
    <font>
      <sz val="9"/>
      <color theme="1"/>
      <name val="Segoe UI"/>
      <family val="2"/>
    </font>
    <font>
      <sz val="11"/>
      <color rgb="FF002060"/>
      <name val="Segoe UI"/>
      <family val="2"/>
    </font>
    <font>
      <b/>
      <sz val="11"/>
      <color rgb="FFFF0000"/>
      <name val="Segoe UI"/>
      <family val="2"/>
    </font>
    <font>
      <sz val="11"/>
      <color rgb="FFFF0000"/>
      <name val="Segoe UI"/>
      <family val="2"/>
    </font>
    <font>
      <b/>
      <sz val="11"/>
      <color theme="0"/>
      <name val="Segoe UI"/>
      <family val="2"/>
    </font>
    <font>
      <sz val="11"/>
      <color theme="4" tint="-0.249977111117893"/>
      <name val="Segoe UI"/>
      <family val="2"/>
    </font>
    <font>
      <sz val="12"/>
      <color theme="4" tint="-0.249977111117893"/>
      <name val="Segoe UI"/>
      <family val="2"/>
    </font>
    <font>
      <sz val="10"/>
      <color rgb="FFFF0000"/>
      <name val="Arial"/>
      <family val="2"/>
    </font>
    <font>
      <sz val="28"/>
      <color theme="0"/>
      <name val="Segoe UI Semibold"/>
      <family val="2"/>
    </font>
    <font>
      <sz val="18"/>
      <color theme="0"/>
      <name val="Segoe UI Semibold"/>
      <family val="2"/>
    </font>
    <font>
      <sz val="14"/>
      <color theme="0"/>
      <name val="Segoe UI Semibold"/>
      <family val="2"/>
    </font>
    <font>
      <sz val="16"/>
      <color theme="0"/>
      <name val="Segoe UI Semibold"/>
      <family val="2"/>
    </font>
    <font>
      <b/>
      <sz val="16"/>
      <color theme="4" tint="-0.249977111117893"/>
      <name val="Segoe UI"/>
      <family val="2"/>
    </font>
    <font>
      <i/>
      <sz val="11"/>
      <color rgb="FFFF0000"/>
      <name val="Segoe UI"/>
      <family val="2"/>
    </font>
    <font>
      <sz val="24"/>
      <color theme="0"/>
      <name val="Segoe UI Semibold"/>
      <family val="2"/>
    </font>
    <font>
      <b/>
      <sz val="16"/>
      <color theme="0"/>
      <name val="Segoe UI Semibold"/>
      <family val="2"/>
    </font>
    <font>
      <b/>
      <sz val="24"/>
      <color theme="0"/>
      <name val="Segoe UI Semibold"/>
      <family val="2"/>
    </font>
    <font>
      <b/>
      <sz val="11"/>
      <color rgb="FFFF0000"/>
      <name val="Calibri"/>
      <family val="2"/>
      <scheme val="minor"/>
    </font>
    <font>
      <b/>
      <sz val="11"/>
      <name val="Arial"/>
    </font>
    <font>
      <b/>
      <sz val="11"/>
      <name val="Arial"/>
      <family val="2"/>
    </font>
    <font>
      <sz val="9"/>
      <name val="Arial"/>
    </font>
    <font>
      <sz val="9"/>
      <name val="Arial"/>
      <family val="2"/>
    </font>
    <font>
      <sz val="9"/>
      <color rgb="FF000000"/>
      <name val="Arial"/>
      <family val="2"/>
    </font>
    <font>
      <b/>
      <sz val="12"/>
      <name val="Arial"/>
      <family val="2"/>
    </font>
    <font>
      <i/>
      <sz val="9"/>
      <name val="Arial"/>
      <family val="2"/>
    </font>
    <font>
      <b/>
      <sz val="10"/>
      <color theme="1"/>
      <name val="Calibri"/>
      <family val="2"/>
    </font>
    <font>
      <sz val="10"/>
      <color theme="1"/>
      <name val="Calibri"/>
      <family val="2"/>
    </font>
    <font>
      <b/>
      <sz val="10"/>
      <color theme="1"/>
      <name val="Calibri"/>
      <family val="2"/>
      <scheme val="minor"/>
    </font>
    <font>
      <sz val="10"/>
      <name val="Arial"/>
    </font>
    <font>
      <sz val="12"/>
      <name val="Corbel"/>
      <family val="2"/>
    </font>
    <font>
      <b/>
      <u/>
      <sz val="16"/>
      <name val="Corbel"/>
      <family val="2"/>
    </font>
    <font>
      <b/>
      <sz val="12"/>
      <name val="Corbel"/>
      <family val="2"/>
    </font>
    <font>
      <sz val="10"/>
      <name val="Corbel"/>
      <family val="2"/>
    </font>
    <font>
      <b/>
      <sz val="10"/>
      <name val="Corbel"/>
      <family val="2"/>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FFFF00"/>
        <bgColor indexed="64"/>
      </patternFill>
    </fill>
    <fill>
      <patternFill patternType="solid">
        <fgColor theme="7" tint="0.59999389629810485"/>
        <bgColor indexed="64"/>
      </patternFill>
    </fill>
  </fills>
  <borders count="46">
    <border>
      <left/>
      <right/>
      <top/>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style="hair">
        <color indexed="64"/>
      </top>
      <bottom style="hair">
        <color indexed="64"/>
      </bottom>
      <diagonal/>
    </border>
    <border>
      <left/>
      <right/>
      <top style="medium">
        <color indexed="23"/>
      </top>
      <bottom style="medium">
        <color indexed="23"/>
      </bottom>
      <diagonal/>
    </border>
    <border>
      <left/>
      <right/>
      <top style="thin">
        <color indexed="23"/>
      </top>
      <bottom/>
      <diagonal/>
    </border>
    <border>
      <left/>
      <right/>
      <top style="thin">
        <color indexed="23"/>
      </top>
      <bottom style="medium">
        <color indexed="23"/>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167" fontId="26" fillId="0" borderId="0" applyFont="0" applyFill="0" applyBorder="0" applyAlignment="0" applyProtection="0"/>
    <xf numFmtId="164" fontId="19" fillId="0" borderId="0" applyFont="0" applyFill="0" applyBorder="0" applyAlignment="0" applyProtection="0"/>
    <xf numFmtId="166" fontId="26" fillId="0" borderId="0" applyFont="0" applyFill="0" applyBorder="0" applyAlignment="0" applyProtection="0"/>
    <xf numFmtId="0" fontId="27" fillId="0" borderId="0" applyNumberFormat="0" applyFill="0" applyBorder="0" applyAlignment="0" applyProtection="0"/>
    <xf numFmtId="9" fontId="26" fillId="0" borderId="0" applyFont="0" applyFill="0" applyBorder="0" applyAlignment="0" applyProtection="0"/>
    <xf numFmtId="0" fontId="19" fillId="0" borderId="0">
      <alignment vertical="center"/>
    </xf>
    <xf numFmtId="0" fontId="59" fillId="0" borderId="0"/>
  </cellStyleXfs>
  <cellXfs count="434">
    <xf numFmtId="0" fontId="0" fillId="0" borderId="0" xfId="0"/>
    <xf numFmtId="0" fontId="29" fillId="0" borderId="0" xfId="0" applyFont="1"/>
    <xf numFmtId="0" fontId="29" fillId="0" borderId="0" xfId="0" applyFont="1" applyAlignment="1">
      <alignment vertical="center"/>
    </xf>
    <xf numFmtId="0" fontId="2" fillId="0" borderId="1" xfId="0" applyFont="1" applyFill="1" applyBorder="1" applyAlignment="1" applyProtection="1">
      <alignment vertical="center" wrapText="1"/>
      <protection locked="0"/>
    </xf>
    <xf numFmtId="169" fontId="2" fillId="0" borderId="1" xfId="0" applyNumberFormat="1" applyFont="1" applyFill="1" applyBorder="1" applyAlignment="1">
      <alignment vertical="center" wrapText="1"/>
    </xf>
    <xf numFmtId="0" fontId="30" fillId="0" borderId="0" xfId="0" applyFont="1" applyAlignment="1">
      <alignment vertical="center"/>
    </xf>
    <xf numFmtId="169" fontId="2" fillId="4" borderId="1" xfId="0" applyNumberFormat="1" applyFont="1" applyFill="1" applyBorder="1" applyAlignment="1">
      <alignment vertical="center" wrapText="1"/>
    </xf>
    <xf numFmtId="169" fontId="2" fillId="0" borderId="1" xfId="3" applyNumberFormat="1" applyFont="1" applyFill="1" applyBorder="1" applyAlignment="1">
      <alignment vertical="center" wrapText="1"/>
    </xf>
    <xf numFmtId="169" fontId="1" fillId="4" borderId="1" xfId="0" applyNumberFormat="1" applyFont="1" applyFill="1" applyBorder="1" applyAlignment="1">
      <alignment vertical="center" wrapText="1"/>
    </xf>
    <xf numFmtId="0" fontId="2" fillId="0" borderId="1" xfId="0" applyNumberFormat="1" applyFont="1" applyFill="1" applyBorder="1" applyAlignment="1">
      <alignment wrapText="1"/>
    </xf>
    <xf numFmtId="0" fontId="2" fillId="0" borderId="1" xfId="0" applyFont="1" applyFill="1" applyBorder="1" applyAlignment="1">
      <alignment horizontal="left" wrapText="1"/>
    </xf>
    <xf numFmtId="14" fontId="1" fillId="0" borderId="1" xfId="0" applyNumberFormat="1" applyFont="1" applyFill="1" applyBorder="1" applyAlignment="1">
      <alignment wrapText="1"/>
    </xf>
    <xf numFmtId="0" fontId="2" fillId="0" borderId="1" xfId="0" applyFont="1" applyFill="1" applyBorder="1" applyAlignment="1" applyProtection="1">
      <alignment vertical="center"/>
      <protection locked="0"/>
    </xf>
    <xf numFmtId="169" fontId="2" fillId="0" borderId="1" xfId="0" applyNumberFormat="1" applyFont="1" applyFill="1" applyBorder="1" applyAlignment="1">
      <alignment vertical="center"/>
    </xf>
    <xf numFmtId="169" fontId="1" fillId="4" borderId="1" xfId="3" applyNumberFormat="1" applyFont="1" applyFill="1" applyBorder="1" applyAlignment="1" applyProtection="1">
      <alignment vertical="center"/>
    </xf>
    <xf numFmtId="169" fontId="2" fillId="0" borderId="1" xfId="0" applyNumberFormat="1" applyFont="1" applyFill="1" applyBorder="1" applyAlignment="1" applyProtection="1">
      <alignment vertical="center"/>
    </xf>
    <xf numFmtId="169" fontId="2" fillId="0" borderId="1" xfId="3" applyNumberFormat="1" applyFont="1" applyFill="1" applyBorder="1" applyAlignment="1">
      <alignment vertical="center"/>
    </xf>
    <xf numFmtId="171" fontId="1" fillId="0" borderId="1" xfId="5" applyNumberFormat="1" applyFont="1" applyFill="1" applyBorder="1" applyAlignment="1">
      <alignment vertical="center"/>
    </xf>
    <xf numFmtId="0" fontId="29" fillId="0" borderId="0" xfId="0" quotePrefix="1" applyFont="1" applyAlignment="1">
      <alignment vertical="center"/>
    </xf>
    <xf numFmtId="169" fontId="29" fillId="0" borderId="0" xfId="0" applyNumberFormat="1" applyFont="1" applyAlignment="1">
      <alignment vertical="center"/>
    </xf>
    <xf numFmtId="0" fontId="29" fillId="0" borderId="0" xfId="0" applyFont="1" applyFill="1" applyAlignment="1">
      <alignment vertical="center"/>
    </xf>
    <xf numFmtId="169" fontId="31" fillId="0" borderId="0" xfId="0" quotePrefix="1" applyNumberFormat="1" applyFont="1"/>
    <xf numFmtId="0" fontId="29" fillId="0" borderId="0" xfId="0" quotePrefix="1" applyFont="1"/>
    <xf numFmtId="170" fontId="29" fillId="0" borderId="0" xfId="0" applyNumberFormat="1" applyFont="1"/>
    <xf numFmtId="0" fontId="2" fillId="0" borderId="1" xfId="0" applyFont="1" applyFill="1" applyBorder="1" applyAlignment="1">
      <alignment horizontal="center" vertical="center" wrapText="1"/>
    </xf>
    <xf numFmtId="0" fontId="6" fillId="0" borderId="0" xfId="0" applyFont="1"/>
    <xf numFmtId="0" fontId="29" fillId="4" borderId="0" xfId="0" applyFont="1" applyFill="1" applyBorder="1"/>
    <xf numFmtId="0" fontId="29" fillId="0" borderId="0" xfId="0" applyFont="1" applyFill="1" applyBorder="1"/>
    <xf numFmtId="0" fontId="1" fillId="4" borderId="0" xfId="0" applyFont="1" applyFill="1" applyBorder="1"/>
    <xf numFmtId="0" fontId="2" fillId="4" borderId="1" xfId="0" applyFont="1" applyFill="1" applyBorder="1" applyAlignment="1">
      <alignment horizontal="left"/>
    </xf>
    <xf numFmtId="0" fontId="1" fillId="4" borderId="2" xfId="0" applyFont="1" applyFill="1" applyBorder="1"/>
    <xf numFmtId="167" fontId="2" fillId="4" borderId="3" xfId="1" applyFont="1" applyFill="1" applyBorder="1" applyAlignment="1">
      <alignment horizontal="left"/>
    </xf>
    <xf numFmtId="166" fontId="2" fillId="4" borderId="1" xfId="3" applyFont="1" applyFill="1" applyBorder="1" applyAlignment="1">
      <alignment horizontal="left"/>
    </xf>
    <xf numFmtId="0" fontId="1" fillId="4" borderId="0" xfId="0" applyFont="1" applyFill="1" applyBorder="1" applyAlignment="1">
      <alignment horizontal="left"/>
    </xf>
    <xf numFmtId="0" fontId="2" fillId="0" borderId="0" xfId="1" applyNumberFormat="1" applyFont="1" applyFill="1" applyBorder="1" applyAlignment="1">
      <alignment horizontal="center"/>
    </xf>
    <xf numFmtId="0" fontId="2" fillId="0" borderId="0" xfId="3" applyNumberFormat="1" applyFont="1" applyFill="1" applyBorder="1" applyAlignment="1">
      <alignment horizontal="center"/>
    </xf>
    <xf numFmtId="0" fontId="32" fillId="4" borderId="0" xfId="0" applyFont="1" applyFill="1" applyBorder="1" applyAlignment="1">
      <alignment horizontal="left"/>
    </xf>
    <xf numFmtId="167" fontId="2" fillId="4" borderId="0" xfId="1" applyFont="1" applyFill="1" applyBorder="1" applyAlignment="1">
      <alignment horizontal="center"/>
    </xf>
    <xf numFmtId="166" fontId="2" fillId="4" borderId="0" xfId="3" applyFont="1" applyFill="1" applyBorder="1" applyAlignment="1">
      <alignment horizontal="center"/>
    </xf>
    <xf numFmtId="0" fontId="33" fillId="0" borderId="0" xfId="0" applyFont="1" applyFill="1" applyBorder="1" applyAlignment="1"/>
    <xf numFmtId="0" fontId="34" fillId="0" borderId="0" xfId="0" applyFont="1" applyFill="1" applyBorder="1"/>
    <xf numFmtId="14" fontId="2" fillId="5" borderId="1" xfId="3" applyNumberFormat="1" applyFont="1" applyFill="1" applyBorder="1" applyAlignment="1" applyProtection="1">
      <alignment horizontal="left"/>
      <protection locked="0"/>
    </xf>
    <xf numFmtId="169" fontId="1" fillId="5" borderId="1" xfId="0" applyNumberFormat="1" applyFont="1" applyFill="1" applyBorder="1" applyAlignment="1" applyProtection="1">
      <alignment vertical="center" wrapText="1"/>
      <protection locked="0"/>
    </xf>
    <xf numFmtId="169" fontId="1" fillId="5" borderId="1" xfId="3" applyNumberFormat="1" applyFont="1" applyFill="1" applyBorder="1" applyAlignment="1" applyProtection="1">
      <alignment vertical="center" wrapText="1"/>
      <protection locked="0"/>
    </xf>
    <xf numFmtId="169" fontId="2" fillId="5" borderId="1" xfId="0" applyNumberFormat="1" applyFont="1" applyFill="1" applyBorder="1" applyAlignment="1" applyProtection="1">
      <alignment vertical="center" wrapText="1"/>
      <protection locked="0"/>
    </xf>
    <xf numFmtId="14" fontId="34" fillId="5" borderId="1" xfId="0" applyNumberFormat="1" applyFont="1" applyFill="1" applyBorder="1" applyAlignment="1" applyProtection="1">
      <alignment vertical="center" wrapText="1"/>
      <protection locked="0"/>
    </xf>
    <xf numFmtId="169" fontId="1" fillId="5" borderId="1" xfId="3" applyNumberFormat="1" applyFont="1" applyFill="1" applyBorder="1" applyAlignment="1" applyProtection="1">
      <alignment vertical="center"/>
      <protection locked="0"/>
    </xf>
    <xf numFmtId="0" fontId="2" fillId="5" borderId="1" xfId="0" applyFont="1" applyFill="1" applyBorder="1" applyAlignment="1" applyProtection="1">
      <alignment horizontal="center" vertical="center" wrapText="1"/>
      <protection locked="0"/>
    </xf>
    <xf numFmtId="14" fontId="34" fillId="5" borderId="1" xfId="0" applyNumberFormat="1" applyFont="1" applyFill="1" applyBorder="1" applyAlignment="1" applyProtection="1">
      <alignment vertical="center"/>
      <protection locked="0"/>
    </xf>
    <xf numFmtId="169" fontId="2" fillId="5" borderId="1" xfId="3" applyNumberFormat="1" applyFont="1" applyFill="1" applyBorder="1" applyAlignment="1" applyProtection="1">
      <alignment vertical="center"/>
      <protection locked="0"/>
    </xf>
    <xf numFmtId="0" fontId="35" fillId="6" borderId="1" xfId="0" applyFont="1" applyFill="1" applyBorder="1" applyAlignment="1">
      <alignment horizontal="left" vertical="center" wrapText="1"/>
    </xf>
    <xf numFmtId="0" fontId="34" fillId="0" borderId="0" xfId="0" applyFont="1" applyAlignment="1">
      <alignment vertical="center"/>
    </xf>
    <xf numFmtId="0" fontId="34" fillId="0" borderId="0" xfId="0" applyFont="1" applyFill="1" applyAlignment="1">
      <alignment vertical="center"/>
    </xf>
    <xf numFmtId="169" fontId="2" fillId="5" borderId="1" xfId="3" applyNumberFormat="1" applyFont="1" applyFill="1" applyBorder="1" applyAlignment="1" applyProtection="1">
      <alignment vertical="center" wrapText="1"/>
      <protection locked="0"/>
    </xf>
    <xf numFmtId="169" fontId="1" fillId="0" borderId="1" xfId="0" applyNumberFormat="1" applyFont="1" applyFill="1" applyBorder="1" applyAlignment="1" applyProtection="1">
      <alignment vertical="center" wrapText="1"/>
      <protection locked="0"/>
    </xf>
    <xf numFmtId="169" fontId="1" fillId="0" borderId="1" xfId="0" applyNumberFormat="1" applyFont="1" applyFill="1" applyBorder="1" applyAlignment="1" applyProtection="1">
      <alignment horizontal="center" vertical="center" wrapText="1"/>
      <protection locked="0"/>
    </xf>
    <xf numFmtId="169" fontId="1" fillId="0" borderId="1" xfId="3" applyNumberFormat="1" applyFont="1" applyFill="1" applyBorder="1" applyAlignment="1" applyProtection="1">
      <alignment vertical="center"/>
      <protection locked="0"/>
    </xf>
    <xf numFmtId="0" fontId="0" fillId="0" borderId="0" xfId="0"/>
    <xf numFmtId="0" fontId="1" fillId="5" borderId="1" xfId="0" applyFont="1" applyFill="1" applyBorder="1" applyAlignment="1" applyProtection="1">
      <alignment horizontal="left" vertical="center" wrapText="1"/>
      <protection locked="0"/>
    </xf>
    <xf numFmtId="165" fontId="1" fillId="0" borderId="4" xfId="0" applyNumberFormat="1" applyFont="1" applyFill="1" applyBorder="1" applyAlignment="1">
      <alignment vertical="center" wrapText="1"/>
    </xf>
    <xf numFmtId="169" fontId="2" fillId="5" borderId="5" xfId="3" applyNumberFormat="1" applyFont="1" applyFill="1" applyBorder="1" applyAlignment="1" applyProtection="1">
      <alignment vertical="center"/>
      <protection locked="0"/>
    </xf>
    <xf numFmtId="169" fontId="2" fillId="0" borderId="3" xfId="0" applyNumberFormat="1" applyFont="1" applyFill="1" applyBorder="1" applyAlignment="1">
      <alignment vertical="center"/>
    </xf>
    <xf numFmtId="169" fontId="34" fillId="5" borderId="1" xfId="3" applyNumberFormat="1" applyFont="1" applyFill="1" applyBorder="1" applyAlignment="1" applyProtection="1">
      <alignment vertical="center" wrapText="1"/>
      <protection locked="0"/>
    </xf>
    <xf numFmtId="169" fontId="33" fillId="5" borderId="1" xfId="3" applyNumberFormat="1" applyFont="1" applyFill="1" applyBorder="1" applyAlignment="1" applyProtection="1">
      <alignment vertical="center"/>
      <protection locked="0"/>
    </xf>
    <xf numFmtId="167" fontId="26" fillId="0" borderId="0" xfId="1" applyFont="1"/>
    <xf numFmtId="0" fontId="9" fillId="0" borderId="6" xfId="0" applyFont="1" applyFill="1" applyBorder="1" applyAlignment="1">
      <alignment horizontal="center"/>
    </xf>
    <xf numFmtId="14" fontId="0" fillId="0" borderId="7" xfId="0" applyNumberFormat="1" applyFill="1" applyBorder="1" applyAlignment="1"/>
    <xf numFmtId="0" fontId="0" fillId="0" borderId="7" xfId="0" applyFill="1" applyBorder="1" applyAlignment="1"/>
    <xf numFmtId="14" fontId="0" fillId="0" borderId="8" xfId="0" applyNumberFormat="1" applyFill="1" applyBorder="1" applyAlignment="1"/>
    <xf numFmtId="0" fontId="0" fillId="0" borderId="8" xfId="0" applyFill="1" applyBorder="1" applyAlignment="1"/>
    <xf numFmtId="0" fontId="0" fillId="0" borderId="0" xfId="0" applyAlignment="1">
      <alignment horizontal="right"/>
    </xf>
    <xf numFmtId="0" fontId="0" fillId="0" borderId="9" xfId="0" applyBorder="1" applyAlignment="1">
      <alignment horizontal="center" vertical="center"/>
    </xf>
    <xf numFmtId="167" fontId="28" fillId="0" borderId="9" xfId="1" applyFont="1" applyBorder="1" applyAlignment="1">
      <alignment horizontal="center" vertical="center"/>
    </xf>
    <xf numFmtId="0" fontId="28" fillId="0" borderId="9" xfId="0" applyFont="1" applyBorder="1" applyAlignment="1">
      <alignment horizontal="right" vertical="center"/>
    </xf>
    <xf numFmtId="167" fontId="9" fillId="0" borderId="6" xfId="1" applyFont="1" applyFill="1" applyBorder="1" applyAlignment="1">
      <alignment horizontal="center"/>
    </xf>
    <xf numFmtId="167" fontId="26" fillId="0" borderId="7" xfId="1" applyFont="1" applyFill="1" applyBorder="1" applyAlignment="1"/>
    <xf numFmtId="167" fontId="26" fillId="0" borderId="8" xfId="1" applyFont="1" applyFill="1" applyBorder="1" applyAlignment="1"/>
    <xf numFmtId="167" fontId="9" fillId="0" borderId="9" xfId="1" applyFont="1" applyFill="1" applyBorder="1" applyAlignment="1">
      <alignment horizontal="center"/>
    </xf>
    <xf numFmtId="167" fontId="26" fillId="0" borderId="0" xfId="1" applyFont="1" applyFill="1" applyBorder="1" applyAlignment="1"/>
    <xf numFmtId="0" fontId="27" fillId="0" borderId="0" xfId="4" quotePrefix="1" applyAlignment="1">
      <alignment vertical="center"/>
    </xf>
    <xf numFmtId="0" fontId="2" fillId="5" borderId="1" xfId="1" applyNumberFormat="1" applyFont="1" applyFill="1" applyBorder="1" applyAlignment="1" applyProtection="1">
      <alignment horizontal="left" wrapText="1"/>
      <protection locked="0"/>
    </xf>
    <xf numFmtId="0" fontId="1" fillId="0" borderId="10"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27" fillId="0" borderId="0" xfId="4" applyFill="1"/>
    <xf numFmtId="0" fontId="1" fillId="0" borderId="1" xfId="0" applyNumberFormat="1" applyFont="1" applyFill="1" applyBorder="1" applyAlignment="1">
      <alignment horizontal="right" wrapText="1"/>
    </xf>
    <xf numFmtId="0" fontId="29" fillId="4" borderId="11" xfId="0" applyFont="1" applyFill="1" applyBorder="1"/>
    <xf numFmtId="0" fontId="29" fillId="4" borderId="12" xfId="0" applyFont="1" applyFill="1" applyBorder="1"/>
    <xf numFmtId="0" fontId="2" fillId="0" borderId="11" xfId="0" applyFont="1" applyFill="1" applyBorder="1"/>
    <xf numFmtId="0" fontId="29" fillId="0" borderId="12" xfId="0" applyFont="1" applyFill="1" applyBorder="1"/>
    <xf numFmtId="0" fontId="1" fillId="4" borderId="11" xfId="0" applyFont="1" applyFill="1" applyBorder="1"/>
    <xf numFmtId="0" fontId="1" fillId="4" borderId="11" xfId="0" applyFont="1" applyFill="1" applyBorder="1" applyAlignment="1">
      <alignment vertical="center"/>
    </xf>
    <xf numFmtId="0" fontId="29" fillId="0" borderId="11" xfId="0" applyFont="1" applyBorder="1"/>
    <xf numFmtId="0" fontId="36" fillId="4" borderId="11" xfId="0" applyFont="1" applyFill="1" applyBorder="1" applyAlignment="1">
      <alignment wrapText="1"/>
    </xf>
    <xf numFmtId="0" fontId="1" fillId="4" borderId="11" xfId="0" applyFont="1" applyFill="1" applyBorder="1" applyAlignment="1"/>
    <xf numFmtId="0" fontId="37" fillId="4" borderId="11" xfId="0" applyFont="1" applyFill="1" applyBorder="1" applyAlignment="1">
      <alignment wrapText="1"/>
    </xf>
    <xf numFmtId="14" fontId="8" fillId="0" borderId="11" xfId="0" applyNumberFormat="1" applyFont="1" applyFill="1" applyBorder="1" applyAlignment="1">
      <alignment wrapText="1"/>
    </xf>
    <xf numFmtId="0" fontId="29" fillId="0" borderId="13" xfId="0" applyFont="1" applyBorder="1"/>
    <xf numFmtId="0" fontId="29" fillId="0" borderId="14" xfId="0" applyFont="1" applyBorder="1"/>
    <xf numFmtId="0" fontId="29" fillId="0" borderId="15" xfId="0" applyFont="1" applyBorder="1"/>
    <xf numFmtId="169" fontId="1" fillId="0" borderId="16" xfId="3" applyNumberFormat="1" applyFont="1" applyFill="1" applyBorder="1" applyAlignment="1" applyProtection="1">
      <alignment vertical="center" wrapText="1"/>
      <protection locked="0"/>
    </xf>
    <xf numFmtId="169" fontId="1" fillId="0" borderId="17" xfId="3" applyNumberFormat="1" applyFont="1" applyFill="1" applyBorder="1" applyAlignment="1" applyProtection="1">
      <alignment vertical="center" wrapText="1"/>
      <protection locked="0"/>
    </xf>
    <xf numFmtId="169" fontId="1" fillId="0" borderId="18" xfId="3" applyNumberFormat="1" applyFont="1" applyFill="1" applyBorder="1" applyAlignment="1" applyProtection="1">
      <alignment vertical="center" wrapText="1"/>
      <protection locked="0"/>
    </xf>
    <xf numFmtId="169" fontId="1" fillId="0" borderId="19" xfId="3" applyNumberFormat="1" applyFont="1" applyFill="1" applyBorder="1" applyAlignment="1" applyProtection="1">
      <alignment vertical="center" wrapText="1"/>
      <protection locked="0"/>
    </xf>
    <xf numFmtId="169" fontId="1" fillId="0" borderId="0" xfId="3" applyNumberFormat="1" applyFont="1" applyFill="1" applyBorder="1" applyAlignment="1" applyProtection="1">
      <alignment vertical="center" wrapText="1"/>
      <protection locked="0"/>
    </xf>
    <xf numFmtId="169" fontId="1" fillId="0" borderId="4" xfId="3" applyNumberFormat="1" applyFont="1" applyFill="1" applyBorder="1" applyAlignment="1" applyProtection="1">
      <alignment vertical="center" wrapText="1"/>
      <protection locked="0"/>
    </xf>
    <xf numFmtId="169" fontId="1" fillId="0" borderId="20" xfId="3" applyNumberFormat="1" applyFont="1" applyFill="1" applyBorder="1" applyAlignment="1" applyProtection="1">
      <alignment vertical="center" wrapText="1"/>
      <protection locked="0"/>
    </xf>
    <xf numFmtId="169" fontId="1" fillId="0" borderId="21" xfId="3" applyNumberFormat="1" applyFont="1" applyFill="1" applyBorder="1" applyAlignment="1" applyProtection="1">
      <alignment vertical="center" wrapText="1"/>
      <protection locked="0"/>
    </xf>
    <xf numFmtId="169" fontId="1" fillId="0" borderId="2" xfId="3" applyNumberFormat="1" applyFont="1" applyFill="1" applyBorder="1" applyAlignment="1" applyProtection="1">
      <alignment vertical="center" wrapText="1"/>
      <protection locked="0"/>
    </xf>
    <xf numFmtId="0" fontId="12" fillId="2" borderId="0" xfId="4" applyFont="1" applyFill="1" applyAlignment="1" applyProtection="1">
      <alignment horizontal="center"/>
    </xf>
    <xf numFmtId="38" fontId="14" fillId="0" borderId="0" xfId="0" applyNumberFormat="1" applyFont="1"/>
    <xf numFmtId="38" fontId="15" fillId="0" borderId="0" xfId="0" applyNumberFormat="1" applyFont="1"/>
    <xf numFmtId="0" fontId="17" fillId="0" borderId="0" xfId="0" applyFont="1"/>
    <xf numFmtId="15" fontId="17" fillId="0" borderId="22" xfId="1" applyNumberFormat="1" applyFont="1" applyFill="1" applyBorder="1" applyAlignment="1" applyProtection="1">
      <alignment horizontal="center"/>
      <protection locked="0"/>
    </xf>
    <xf numFmtId="172" fontId="17" fillId="0" borderId="22" xfId="1" applyNumberFormat="1" applyFont="1" applyFill="1" applyBorder="1" applyAlignment="1" applyProtection="1">
      <alignment horizontal="center"/>
      <protection locked="0"/>
    </xf>
    <xf numFmtId="38" fontId="19" fillId="0" borderId="0" xfId="0" applyNumberFormat="1" applyFont="1"/>
    <xf numFmtId="38" fontId="17" fillId="0" borderId="23" xfId="0" applyNumberFormat="1" applyFont="1" applyBorder="1"/>
    <xf numFmtId="38" fontId="17" fillId="0" borderId="23" xfId="0" applyNumberFormat="1" applyFont="1" applyBorder="1" applyAlignment="1">
      <alignment horizontal="center"/>
    </xf>
    <xf numFmtId="173" fontId="19" fillId="0" borderId="0" xfId="2" applyNumberFormat="1" applyFont="1"/>
    <xf numFmtId="38" fontId="17" fillId="0" borderId="0" xfId="0" applyNumberFormat="1" applyFont="1"/>
    <xf numFmtId="3" fontId="19" fillId="0" borderId="0" xfId="2" applyNumberFormat="1" applyFont="1" applyBorder="1"/>
    <xf numFmtId="3" fontId="19" fillId="3" borderId="0" xfId="2" applyNumberFormat="1" applyFont="1" applyFill="1" applyBorder="1"/>
    <xf numFmtId="3" fontId="17" fillId="0" borderId="0" xfId="2" applyNumberFormat="1" applyFont="1" applyBorder="1"/>
    <xf numFmtId="38" fontId="20" fillId="0" borderId="0" xfId="0" applyNumberFormat="1" applyFont="1"/>
    <xf numFmtId="173" fontId="17" fillId="0" borderId="0" xfId="2" applyNumberFormat="1" applyFont="1" applyFill="1" applyBorder="1" applyAlignment="1">
      <alignment vertical="center" wrapText="1"/>
    </xf>
    <xf numFmtId="3" fontId="19" fillId="3" borderId="23" xfId="2" applyNumberFormat="1" applyFont="1" applyFill="1" applyBorder="1"/>
    <xf numFmtId="3" fontId="21" fillId="0" borderId="0" xfId="2" applyNumberFormat="1" applyFont="1" applyBorder="1"/>
    <xf numFmtId="3" fontId="22" fillId="0" borderId="0" xfId="2" applyNumberFormat="1" applyFont="1" applyBorder="1"/>
    <xf numFmtId="3" fontId="19" fillId="0" borderId="0" xfId="2" applyNumberFormat="1" applyFont="1" applyFill="1" applyBorder="1"/>
    <xf numFmtId="38" fontId="23" fillId="0" borderId="0" xfId="0" applyNumberFormat="1" applyFont="1"/>
    <xf numFmtId="38" fontId="38" fillId="0" borderId="0" xfId="0" applyNumberFormat="1" applyFont="1"/>
    <xf numFmtId="10" fontId="19" fillId="0" borderId="0" xfId="5" applyNumberFormat="1" applyFont="1" applyBorder="1"/>
    <xf numFmtId="167" fontId="19" fillId="0" borderId="0" xfId="1" applyFont="1" applyBorder="1"/>
    <xf numFmtId="2" fontId="19" fillId="0" borderId="0" xfId="2" applyNumberFormat="1" applyFont="1" applyBorder="1"/>
    <xf numFmtId="2" fontId="19" fillId="3" borderId="0" xfId="2" applyNumberFormat="1" applyFont="1" applyFill="1" applyBorder="1"/>
    <xf numFmtId="2" fontId="21" fillId="0" borderId="0" xfId="2" applyNumberFormat="1" applyFont="1" applyBorder="1"/>
    <xf numFmtId="2" fontId="19" fillId="3" borderId="23" xfId="2" applyNumberFormat="1" applyFont="1" applyFill="1" applyBorder="1"/>
    <xf numFmtId="2" fontId="17" fillId="0" borderId="0" xfId="2" applyNumberFormat="1" applyFont="1" applyBorder="1"/>
    <xf numFmtId="17" fontId="19" fillId="0" borderId="0" xfId="0" applyNumberFormat="1" applyFont="1"/>
    <xf numFmtId="167" fontId="17" fillId="0" borderId="24" xfId="1" applyFont="1" applyBorder="1"/>
    <xf numFmtId="4" fontId="19" fillId="0" borderId="0" xfId="2" applyNumberFormat="1" applyFont="1" applyBorder="1"/>
    <xf numFmtId="4" fontId="17" fillId="0" borderId="0" xfId="2" applyNumberFormat="1" applyFont="1" applyBorder="1"/>
    <xf numFmtId="173" fontId="17" fillId="0" borderId="0" xfId="2" applyNumberFormat="1" applyFont="1" applyFill="1" applyBorder="1"/>
    <xf numFmtId="173" fontId="19" fillId="0" borderId="0" xfId="2" applyNumberFormat="1" applyFont="1" applyFill="1" applyBorder="1"/>
    <xf numFmtId="38" fontId="25" fillId="0" borderId="0" xfId="0" applyNumberFormat="1" applyFont="1"/>
    <xf numFmtId="166" fontId="15" fillId="0" borderId="0" xfId="3" applyFont="1"/>
    <xf numFmtId="166" fontId="15" fillId="0" borderId="24" xfId="3" applyFont="1" applyBorder="1"/>
    <xf numFmtId="9" fontId="15" fillId="0" borderId="0" xfId="5" applyFont="1"/>
    <xf numFmtId="38" fontId="10" fillId="0" borderId="0" xfId="0" applyNumberFormat="1" applyFont="1" applyAlignment="1">
      <alignment vertical="center"/>
    </xf>
    <xf numFmtId="38" fontId="11" fillId="0" borderId="0" xfId="0" applyNumberFormat="1" applyFont="1" applyAlignment="1">
      <alignment vertical="center"/>
    </xf>
    <xf numFmtId="38" fontId="13" fillId="2" borderId="0" xfId="0" applyNumberFormat="1" applyFont="1" applyFill="1" applyAlignment="1">
      <alignment horizontal="center" vertical="center"/>
    </xf>
    <xf numFmtId="38" fontId="11" fillId="0" borderId="0" xfId="0" applyNumberFormat="1" applyFont="1" applyAlignment="1">
      <alignment horizontal="center" vertical="center"/>
    </xf>
    <xf numFmtId="38" fontId="16" fillId="0" borderId="0" xfId="0" applyNumberFormat="1" applyFont="1" applyAlignment="1">
      <alignment horizontal="left" vertical="center"/>
    </xf>
    <xf numFmtId="38" fontId="16" fillId="0" borderId="22" xfId="0" applyNumberFormat="1" applyFont="1" applyBorder="1" applyAlignment="1">
      <alignment horizontal="center" vertical="center"/>
    </xf>
    <xf numFmtId="15" fontId="17" fillId="0" borderId="0" xfId="0" applyNumberFormat="1" applyFont="1" applyAlignment="1" applyProtection="1">
      <alignment horizontal="left"/>
      <protection locked="0"/>
    </xf>
    <xf numFmtId="0" fontId="18" fillId="0" borderId="0" xfId="0" applyFont="1"/>
    <xf numFmtId="0" fontId="19" fillId="0" borderId="0" xfId="0" applyFont="1"/>
    <xf numFmtId="38" fontId="17" fillId="0" borderId="0" xfId="0" applyNumberFormat="1" applyFont="1" applyAlignment="1">
      <alignment horizontal="center"/>
    </xf>
    <xf numFmtId="4" fontId="19" fillId="0" borderId="0" xfId="0" applyNumberFormat="1" applyFont="1" applyAlignment="1">
      <alignment horizontal="center"/>
    </xf>
    <xf numFmtId="10" fontId="19" fillId="0" borderId="0" xfId="0" applyNumberFormat="1" applyFont="1"/>
    <xf numFmtId="1" fontId="19" fillId="0" borderId="0" xfId="0" applyNumberFormat="1" applyFont="1"/>
    <xf numFmtId="1" fontId="17" fillId="0" borderId="0" xfId="0" applyNumberFormat="1" applyFont="1"/>
    <xf numFmtId="10" fontId="17" fillId="0" borderId="0" xfId="0" applyNumberFormat="1" applyFont="1"/>
    <xf numFmtId="4" fontId="19" fillId="0" borderId="0" xfId="0" applyNumberFormat="1" applyFont="1"/>
    <xf numFmtId="38" fontId="24" fillId="0" borderId="0" xfId="0" applyNumberFormat="1" applyFont="1"/>
    <xf numFmtId="0" fontId="1" fillId="0" borderId="36" xfId="0" applyFont="1" applyBorder="1" applyAlignment="1">
      <alignment horizontal="left" vertical="center"/>
    </xf>
    <xf numFmtId="0" fontId="1" fillId="0" borderId="37" xfId="0" applyFont="1" applyBorder="1" applyAlignment="1">
      <alignment horizontal="right" vertical="center"/>
    </xf>
    <xf numFmtId="0" fontId="1" fillId="0" borderId="1" xfId="0" applyFont="1" applyFill="1" applyBorder="1" applyAlignment="1">
      <alignment vertical="center"/>
    </xf>
    <xf numFmtId="169" fontId="33" fillId="0" borderId="1" xfId="0" applyNumberFormat="1" applyFont="1" applyFill="1" applyBorder="1" applyAlignment="1" applyProtection="1">
      <alignment horizontal="center" vertical="center" wrapText="1"/>
      <protection locked="0"/>
    </xf>
    <xf numFmtId="0" fontId="49" fillId="0" borderId="22" xfId="0" applyFont="1" applyBorder="1" applyAlignment="1">
      <alignment horizontal="left" vertical="top" wrapText="1"/>
    </xf>
    <xf numFmtId="0" fontId="50" fillId="0" borderId="22" xfId="0" applyFont="1" applyBorder="1" applyAlignment="1">
      <alignment horizontal="left" vertical="top" wrapText="1"/>
    </xf>
    <xf numFmtId="0" fontId="0" fillId="0" borderId="22" xfId="0" applyBorder="1"/>
    <xf numFmtId="0" fontId="51" fillId="0" borderId="22" xfId="0" applyFont="1" applyBorder="1" applyAlignment="1">
      <alignment horizontal="left" vertical="top" wrapText="1"/>
    </xf>
    <xf numFmtId="166" fontId="53" fillId="0" borderId="22" xfId="3" applyFont="1" applyFill="1" applyBorder="1" applyAlignment="1">
      <alignment horizontal="left" vertical="top" wrapText="1"/>
    </xf>
    <xf numFmtId="166" fontId="26" fillId="0" borderId="22" xfId="3" applyFont="1" applyBorder="1"/>
    <xf numFmtId="166" fontId="26" fillId="0" borderId="22" xfId="3" applyFont="1" applyFill="1" applyBorder="1" applyAlignment="1">
      <alignment horizontal="left" vertical="top" wrapText="1"/>
    </xf>
    <xf numFmtId="0" fontId="1" fillId="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protection locked="0"/>
    </xf>
    <xf numFmtId="0" fontId="1" fillId="0" borderId="10"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33" fillId="5"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wrapText="1"/>
      <protection locked="0"/>
    </xf>
    <xf numFmtId="0" fontId="1" fillId="5" borderId="1" xfId="0" applyFont="1" applyFill="1" applyBorder="1" applyAlignment="1" applyProtection="1">
      <alignment horizontal="left" vertical="center"/>
      <protection locked="0"/>
    </xf>
    <xf numFmtId="0" fontId="2" fillId="5" borderId="1" xfId="0" applyFont="1" applyFill="1" applyBorder="1" applyAlignment="1" applyProtection="1">
      <alignment horizontal="left" vertical="center" wrapText="1"/>
      <protection locked="0"/>
    </xf>
    <xf numFmtId="169" fontId="33" fillId="5" borderId="1" xfId="3" applyNumberFormat="1" applyFont="1" applyFill="1" applyBorder="1" applyAlignment="1" applyProtection="1">
      <protection locked="0"/>
    </xf>
    <xf numFmtId="169" fontId="33" fillId="5" borderId="1" xfId="3" applyNumberFormat="1" applyFont="1" applyFill="1" applyBorder="1" applyAlignment="1" applyProtection="1">
      <alignment horizontal="center" vertical="center"/>
      <protection locked="0"/>
    </xf>
    <xf numFmtId="0" fontId="0" fillId="0" borderId="25" xfId="0" applyBorder="1"/>
    <xf numFmtId="0" fontId="0" fillId="0" borderId="26" xfId="0" applyBorder="1"/>
    <xf numFmtId="0" fontId="0" fillId="0" borderId="27" xfId="0" applyBorder="1"/>
    <xf numFmtId="169" fontId="33" fillId="5" borderId="39" xfId="3" applyNumberFormat="1" applyFont="1" applyFill="1" applyBorder="1" applyAlignment="1" applyProtection="1">
      <alignment vertical="center"/>
      <protection locked="0"/>
    </xf>
    <xf numFmtId="169" fontId="33" fillId="0" borderId="39" xfId="0" applyNumberFormat="1" applyFont="1" applyFill="1" applyBorder="1" applyAlignment="1" applyProtection="1">
      <alignment horizontal="center" vertical="center" wrapText="1"/>
      <protection locked="0"/>
    </xf>
    <xf numFmtId="169" fontId="33" fillId="0" borderId="41" xfId="0" applyNumberFormat="1" applyFont="1" applyFill="1" applyBorder="1" applyAlignment="1" applyProtection="1">
      <alignment horizontal="center" vertical="center" wrapText="1"/>
      <protection locked="0"/>
    </xf>
    <xf numFmtId="169" fontId="33" fillId="0" borderId="42" xfId="0" applyNumberFormat="1" applyFont="1" applyFill="1" applyBorder="1" applyAlignment="1" applyProtection="1">
      <alignment horizontal="center" vertical="center" wrapText="1"/>
      <protection locked="0"/>
    </xf>
    <xf numFmtId="0" fontId="0" fillId="0" borderId="0" xfId="0" applyAlignment="1">
      <alignment vertical="center"/>
    </xf>
    <xf numFmtId="0" fontId="0" fillId="0" borderId="0" xfId="0" applyAlignment="1">
      <alignment horizontal="center" vertical="center"/>
    </xf>
    <xf numFmtId="169" fontId="33" fillId="5" borderId="1" xfId="3" applyNumberFormat="1" applyFont="1" applyFill="1" applyBorder="1" applyAlignment="1" applyProtection="1">
      <alignment horizontal="center" wrapText="1"/>
      <protection locked="0"/>
    </xf>
    <xf numFmtId="169" fontId="2" fillId="0" borderId="1" xfId="0" applyNumberFormat="1" applyFont="1" applyFill="1" applyBorder="1" applyAlignment="1" applyProtection="1">
      <alignment horizontal="center" vertical="center" wrapText="1"/>
      <protection locked="0"/>
    </xf>
    <xf numFmtId="169" fontId="2" fillId="7" borderId="1" xfId="0" applyNumberFormat="1" applyFont="1" applyFill="1" applyBorder="1" applyAlignment="1" applyProtection="1">
      <alignment horizontal="center" vertical="center" wrapText="1"/>
      <protection locked="0"/>
    </xf>
    <xf numFmtId="0" fontId="29" fillId="7" borderId="0" xfId="0" applyFont="1" applyFill="1" applyAlignment="1">
      <alignment vertical="center"/>
    </xf>
    <xf numFmtId="0" fontId="33" fillId="5"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wrapText="1"/>
      <protection locked="0"/>
    </xf>
    <xf numFmtId="0" fontId="52" fillId="0" borderId="22" xfId="0" applyFont="1" applyBorder="1" applyAlignment="1">
      <alignment horizontal="left" vertical="top" wrapText="1"/>
    </xf>
    <xf numFmtId="0" fontId="1" fillId="5" borderId="1" xfId="0" applyFont="1" applyFill="1" applyBorder="1" applyAlignment="1" applyProtection="1">
      <alignment horizontal="left" vertical="center" wrapText="1"/>
      <protection locked="0"/>
    </xf>
    <xf numFmtId="0" fontId="33" fillId="5"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33" fillId="5"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0" borderId="1" xfId="0" applyFont="1" applyFill="1" applyBorder="1" applyAlignment="1">
      <alignment horizontal="left" vertical="center"/>
    </xf>
    <xf numFmtId="0" fontId="1" fillId="0" borderId="3" xfId="0" applyFont="1" applyFill="1" applyBorder="1" applyAlignment="1">
      <alignment horizontal="left" vertical="center"/>
    </xf>
    <xf numFmtId="0" fontId="1" fillId="5" borderId="38" xfId="0" applyFont="1" applyFill="1" applyBorder="1" applyAlignment="1" applyProtection="1">
      <alignment horizontal="left" vertical="center"/>
      <protection locked="0"/>
    </xf>
    <xf numFmtId="0" fontId="27" fillId="0" borderId="0" xfId="4"/>
    <xf numFmtId="0" fontId="19" fillId="0" borderId="0" xfId="6">
      <alignment vertical="center"/>
    </xf>
    <xf numFmtId="174" fontId="17" fillId="0" borderId="0" xfId="6" applyNumberFormat="1" applyFont="1">
      <alignment vertical="center"/>
    </xf>
    <xf numFmtId="0" fontId="55" fillId="0" borderId="0" xfId="6" applyFont="1" applyAlignment="1">
      <alignment vertical="top" wrapText="1"/>
    </xf>
    <xf numFmtId="174" fontId="18" fillId="0" borderId="0" xfId="6" applyNumberFormat="1" applyFont="1">
      <alignment vertical="center"/>
    </xf>
    <xf numFmtId="174" fontId="52" fillId="0" borderId="0" xfId="6" applyNumberFormat="1" applyFont="1">
      <alignment vertical="center"/>
    </xf>
    <xf numFmtId="175" fontId="52" fillId="0" borderId="0" xfId="6" applyNumberFormat="1" applyFont="1">
      <alignment vertical="center"/>
    </xf>
    <xf numFmtId="176" fontId="52" fillId="0" borderId="0" xfId="6" applyNumberFormat="1" applyFont="1" applyAlignment="1">
      <alignment horizontal="left" vertical="center"/>
    </xf>
    <xf numFmtId="0" fontId="18" fillId="0" borderId="23" xfId="6" applyFont="1" applyBorder="1">
      <alignment vertical="center"/>
    </xf>
    <xf numFmtId="174" fontId="18" fillId="0" borderId="23" xfId="6" applyNumberFormat="1" applyFont="1" applyBorder="1">
      <alignment vertical="center"/>
    </xf>
    <xf numFmtId="175" fontId="18" fillId="0" borderId="23" xfId="6" applyNumberFormat="1" applyFont="1" applyBorder="1">
      <alignment vertical="center"/>
    </xf>
    <xf numFmtId="0" fontId="18" fillId="0" borderId="43" xfId="6" applyFont="1" applyBorder="1">
      <alignment vertical="center"/>
    </xf>
    <xf numFmtId="174" fontId="18" fillId="0" borderId="43" xfId="6" applyNumberFormat="1" applyFont="1" applyBorder="1">
      <alignment vertical="center"/>
    </xf>
    <xf numFmtId="175" fontId="18" fillId="0" borderId="43" xfId="6" applyNumberFormat="1" applyFont="1" applyBorder="1">
      <alignment vertical="center"/>
    </xf>
    <xf numFmtId="168" fontId="17" fillId="0" borderId="0" xfId="6" applyNumberFormat="1" applyFont="1">
      <alignment vertical="center"/>
    </xf>
    <xf numFmtId="0" fontId="56" fillId="0" borderId="0" xfId="0" applyFont="1" applyProtection="1">
      <protection hidden="1"/>
    </xf>
    <xf numFmtId="0" fontId="57" fillId="0" borderId="0" xfId="0" applyFont="1" applyProtection="1">
      <protection hidden="1"/>
    </xf>
    <xf numFmtId="0" fontId="57" fillId="8" borderId="0" xfId="0" applyFont="1" applyFill="1" applyProtection="1">
      <protection hidden="1"/>
    </xf>
    <xf numFmtId="167" fontId="56" fillId="8" borderId="22" xfId="1" applyFont="1" applyFill="1" applyBorder="1" applyProtection="1">
      <protection locked="0"/>
    </xf>
    <xf numFmtId="167" fontId="56" fillId="8" borderId="0" xfId="1" applyFont="1" applyFill="1" applyBorder="1" applyProtection="1">
      <protection locked="0"/>
    </xf>
    <xf numFmtId="0" fontId="57" fillId="0" borderId="0" xfId="0" applyFont="1" applyAlignment="1" applyProtection="1">
      <alignment wrapText="1"/>
      <protection hidden="1"/>
    </xf>
    <xf numFmtId="0" fontId="58" fillId="0" borderId="22" xfId="0" applyFont="1" applyBorder="1" applyAlignment="1" applyProtection="1">
      <alignment horizontal="center" wrapText="1"/>
      <protection hidden="1"/>
    </xf>
    <xf numFmtId="0" fontId="57" fillId="8" borderId="22" xfId="0" applyFont="1" applyFill="1" applyBorder="1" applyAlignment="1" applyProtection="1">
      <alignment horizontal="center"/>
      <protection locked="0" hidden="1"/>
    </xf>
    <xf numFmtId="167" fontId="57" fillId="8" borderId="22" xfId="1" applyFont="1" applyFill="1" applyBorder="1" applyAlignment="1" applyProtection="1">
      <alignment horizontal="center"/>
      <protection locked="0"/>
    </xf>
    <xf numFmtId="14" fontId="57" fillId="8" borderId="22" xfId="0" applyNumberFormat="1" applyFont="1" applyFill="1" applyBorder="1" applyAlignment="1" applyProtection="1">
      <alignment horizontal="center"/>
      <protection locked="0"/>
    </xf>
    <xf numFmtId="167" fontId="57" fillId="0" borderId="0" xfId="1" applyFont="1" applyFill="1" applyProtection="1">
      <protection hidden="1"/>
    </xf>
    <xf numFmtId="0" fontId="57" fillId="0" borderId="0" xfId="0" applyFont="1" applyAlignment="1" applyProtection="1">
      <alignment horizontal="center"/>
      <protection hidden="1"/>
    </xf>
    <xf numFmtId="0" fontId="57" fillId="0" borderId="0" xfId="0" applyFont="1" applyAlignment="1" applyProtection="1">
      <alignment horizontal="right"/>
      <protection hidden="1"/>
    </xf>
    <xf numFmtId="164" fontId="57" fillId="0" borderId="0" xfId="0" applyNumberFormat="1" applyFont="1" applyProtection="1">
      <protection hidden="1"/>
    </xf>
    <xf numFmtId="0" fontId="57" fillId="0" borderId="0" xfId="0" applyFont="1" applyAlignment="1" applyProtection="1">
      <alignment horizontal="left"/>
      <protection hidden="1"/>
    </xf>
    <xf numFmtId="10" fontId="57" fillId="0" borderId="0" xfId="0" applyNumberFormat="1" applyFont="1" applyProtection="1">
      <protection hidden="1"/>
    </xf>
    <xf numFmtId="10" fontId="57" fillId="0" borderId="0" xfId="5" applyNumberFormat="1" applyFont="1" applyFill="1" applyProtection="1">
      <protection hidden="1"/>
    </xf>
    <xf numFmtId="0" fontId="56" fillId="0" borderId="22" xfId="0" applyFont="1" applyBorder="1" applyAlignment="1" applyProtection="1">
      <alignment wrapText="1"/>
      <protection hidden="1"/>
    </xf>
    <xf numFmtId="0" fontId="57" fillId="0" borderId="22" xfId="0" applyFont="1" applyBorder="1" applyProtection="1">
      <protection hidden="1"/>
    </xf>
    <xf numFmtId="0" fontId="57" fillId="0" borderId="22" xfId="0" applyFont="1" applyBorder="1" applyAlignment="1" applyProtection="1">
      <alignment horizontal="center"/>
      <protection hidden="1"/>
    </xf>
    <xf numFmtId="164" fontId="57" fillId="0" borderId="22" xfId="0" applyNumberFormat="1" applyFont="1" applyBorder="1" applyAlignment="1" applyProtection="1">
      <alignment horizontal="center"/>
      <protection hidden="1"/>
    </xf>
    <xf numFmtId="14" fontId="57" fillId="0" borderId="22" xfId="0" quotePrefix="1" applyNumberFormat="1" applyFont="1" applyBorder="1" applyAlignment="1" applyProtection="1">
      <alignment horizontal="center"/>
      <protection hidden="1"/>
    </xf>
    <xf numFmtId="167" fontId="57" fillId="0" borderId="22" xfId="1" applyFont="1" applyFill="1" applyBorder="1" applyProtection="1">
      <protection hidden="1"/>
    </xf>
    <xf numFmtId="164" fontId="57" fillId="0" borderId="22" xfId="0" applyNumberFormat="1" applyFont="1" applyBorder="1" applyProtection="1">
      <protection hidden="1"/>
    </xf>
    <xf numFmtId="167" fontId="57" fillId="0" borderId="0" xfId="1" applyFont="1" applyProtection="1">
      <protection hidden="1"/>
    </xf>
    <xf numFmtId="14" fontId="57" fillId="0" borderId="22" xfId="0" applyNumberFormat="1" applyFont="1" applyBorder="1" applyAlignment="1" applyProtection="1">
      <alignment horizontal="center"/>
      <protection hidden="1"/>
    </xf>
    <xf numFmtId="14" fontId="57" fillId="0" borderId="0" xfId="0" applyNumberFormat="1" applyFont="1" applyProtection="1">
      <protection hidden="1"/>
    </xf>
    <xf numFmtId="0" fontId="33" fillId="5" borderId="1" xfId="0" applyFont="1" applyFill="1" applyBorder="1" applyAlignment="1" applyProtection="1">
      <alignment horizontal="center" vertical="center"/>
      <protection locked="0"/>
    </xf>
    <xf numFmtId="0" fontId="60" fillId="0" borderId="0" xfId="7" applyFont="1" applyFill="1"/>
    <xf numFmtId="0" fontId="61" fillId="0" borderId="0" xfId="7" applyFont="1" applyFill="1" applyAlignment="1">
      <alignment horizontal="left"/>
    </xf>
    <xf numFmtId="3" fontId="60" fillId="0" borderId="0" xfId="7" applyNumberFormat="1" applyFont="1" applyFill="1"/>
    <xf numFmtId="3" fontId="62" fillId="0" borderId="0" xfId="7" applyNumberFormat="1" applyFont="1" applyFill="1" applyAlignment="1">
      <alignment horizontal="right"/>
    </xf>
    <xf numFmtId="0" fontId="63" fillId="0" borderId="0" xfId="7" applyFont="1" applyFill="1"/>
    <xf numFmtId="0" fontId="61" fillId="0" borderId="0" xfId="7" applyFont="1" applyFill="1"/>
    <xf numFmtId="177" fontId="61" fillId="0" borderId="0" xfId="7" applyNumberFormat="1" applyFont="1" applyFill="1" applyAlignment="1">
      <alignment horizontal="left"/>
    </xf>
    <xf numFmtId="3" fontId="62" fillId="0" borderId="22" xfId="7" applyNumberFormat="1" applyFont="1" applyFill="1" applyBorder="1" applyAlignment="1">
      <alignment horizontal="center" wrapText="1"/>
    </xf>
    <xf numFmtId="3" fontId="62" fillId="0" borderId="34" xfId="7" applyNumberFormat="1" applyFont="1" applyFill="1" applyBorder="1" applyAlignment="1">
      <alignment horizontal="center" wrapText="1"/>
    </xf>
    <xf numFmtId="3" fontId="62" fillId="0" borderId="36" xfId="7" applyNumberFormat="1" applyFont="1" applyFill="1" applyBorder="1" applyAlignment="1">
      <alignment horizontal="center" wrapText="1"/>
    </xf>
    <xf numFmtId="0" fontId="60" fillId="0" borderId="36" xfId="7" applyFont="1" applyFill="1" applyBorder="1"/>
    <xf numFmtId="37" fontId="60" fillId="0" borderId="36" xfId="7" applyNumberFormat="1" applyFont="1" applyFill="1" applyBorder="1"/>
    <xf numFmtId="0" fontId="62" fillId="0" borderId="0" xfId="7" applyFont="1" applyFill="1"/>
    <xf numFmtId="37" fontId="62" fillId="0" borderId="36" xfId="7" applyNumberFormat="1" applyFont="1" applyFill="1" applyBorder="1"/>
    <xf numFmtId="0" fontId="64" fillId="0" borderId="0" xfId="7" applyFont="1" applyFill="1"/>
    <xf numFmtId="37" fontId="60" fillId="0" borderId="0" xfId="7" applyNumberFormat="1" applyFont="1" applyFill="1"/>
    <xf numFmtId="37" fontId="60" fillId="0" borderId="23" xfId="7" applyNumberFormat="1" applyFont="1" applyFill="1" applyBorder="1"/>
    <xf numFmtId="15" fontId="60" fillId="0" borderId="36" xfId="7" applyNumberFormat="1" applyFont="1" applyFill="1" applyBorder="1"/>
    <xf numFmtId="178" fontId="62" fillId="0" borderId="0" xfId="7" applyNumberFormat="1" applyFont="1" applyFill="1"/>
    <xf numFmtId="179" fontId="60" fillId="0" borderId="0" xfId="7" applyNumberFormat="1" applyFont="1" applyFill="1"/>
    <xf numFmtId="3" fontId="62" fillId="0" borderId="0" xfId="7" applyNumberFormat="1" applyFont="1" applyFill="1"/>
    <xf numFmtId="3" fontId="63" fillId="0" borderId="0" xfId="7" applyNumberFormat="1" applyFont="1" applyFill="1"/>
    <xf numFmtId="0" fontId="3" fillId="0" borderId="0" xfId="7" applyFont="1" applyFill="1"/>
    <xf numFmtId="3" fontId="60" fillId="0" borderId="22" xfId="7" applyNumberFormat="1" applyFont="1" applyFill="1" applyBorder="1"/>
    <xf numFmtId="0" fontId="35" fillId="6" borderId="0" xfId="0" applyFont="1" applyFill="1" applyBorder="1" applyAlignment="1">
      <alignment horizontal="left" vertical="center"/>
    </xf>
    <xf numFmtId="169" fontId="29" fillId="5" borderId="1" xfId="3" applyNumberFormat="1" applyFont="1" applyFill="1" applyBorder="1" applyAlignment="1" applyProtection="1">
      <alignment vertical="center"/>
      <protection locked="0"/>
    </xf>
    <xf numFmtId="180" fontId="3" fillId="0" borderId="22" xfId="1" applyNumberFormat="1" applyFont="1" applyFill="1" applyBorder="1"/>
    <xf numFmtId="180" fontId="60" fillId="0" borderId="22" xfId="1" applyNumberFormat="1" applyFont="1" applyFill="1" applyBorder="1"/>
    <xf numFmtId="180" fontId="4" fillId="0" borderId="22" xfId="1" applyNumberFormat="1" applyFont="1" applyFill="1" applyBorder="1"/>
    <xf numFmtId="180" fontId="3" fillId="0" borderId="44" xfId="7" applyNumberFormat="1" applyFont="1" applyFill="1" applyBorder="1"/>
    <xf numFmtId="180" fontId="3" fillId="0" borderId="45" xfId="7" applyNumberFormat="1" applyFont="1" applyFill="1" applyBorder="1"/>
    <xf numFmtId="180" fontId="4" fillId="0" borderId="22" xfId="7" applyNumberFormat="1" applyFont="1" applyFill="1" applyBorder="1"/>
    <xf numFmtId="38" fontId="17" fillId="0" borderId="0" xfId="0" applyNumberFormat="1" applyFont="1" applyAlignment="1">
      <alignment horizontal="center"/>
    </xf>
    <xf numFmtId="169" fontId="1" fillId="0" borderId="1" xfId="3" applyNumberFormat="1" applyFont="1" applyFill="1" applyBorder="1" applyAlignment="1" applyProtection="1">
      <alignment vertical="center" wrapText="1"/>
      <protection locked="0"/>
    </xf>
    <xf numFmtId="169" fontId="33" fillId="0" borderId="1" xfId="3" applyNumberFormat="1" applyFont="1" applyFill="1" applyBorder="1" applyAlignment="1" applyProtection="1">
      <alignment horizontal="center" wrapText="1"/>
      <protection locked="0"/>
    </xf>
    <xf numFmtId="0" fontId="35" fillId="6" borderId="1" xfId="0" applyFont="1" applyFill="1" applyBorder="1" applyAlignment="1">
      <alignment horizontal="left" vertical="center" wrapText="1"/>
    </xf>
    <xf numFmtId="0" fontId="35" fillId="4"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3" xfId="0" applyFont="1" applyFill="1" applyBorder="1" applyAlignment="1">
      <alignment horizontal="left" vertical="center"/>
    </xf>
    <xf numFmtId="0" fontId="1" fillId="5" borderId="1" xfId="0" applyFont="1" applyFill="1" applyBorder="1" applyAlignment="1" applyProtection="1">
      <alignment wrapText="1"/>
      <protection locked="0"/>
    </xf>
    <xf numFmtId="0" fontId="39" fillId="6" borderId="25" xfId="0" applyFont="1" applyFill="1" applyBorder="1" applyAlignment="1">
      <alignment horizontal="center" vertical="center"/>
    </xf>
    <xf numFmtId="0" fontId="39" fillId="6" borderId="26" xfId="0" applyFont="1" applyFill="1" applyBorder="1" applyAlignment="1">
      <alignment horizontal="center" vertical="center"/>
    </xf>
    <xf numFmtId="0" fontId="39" fillId="6" borderId="27" xfId="0" applyFont="1" applyFill="1" applyBorder="1" applyAlignment="1">
      <alignment horizontal="center" vertical="center"/>
    </xf>
    <xf numFmtId="0" fontId="39" fillId="6" borderId="11" xfId="0" applyFont="1" applyFill="1" applyBorder="1" applyAlignment="1">
      <alignment horizontal="center" vertical="center"/>
    </xf>
    <xf numFmtId="0" fontId="39" fillId="6" borderId="0" xfId="0" applyFont="1" applyFill="1" applyBorder="1" applyAlignment="1">
      <alignment horizontal="center" vertical="center"/>
    </xf>
    <xf numFmtId="0" fontId="39" fillId="6" borderId="12" xfId="0" applyFont="1" applyFill="1" applyBorder="1" applyAlignment="1">
      <alignment horizontal="center" vertical="center"/>
    </xf>
    <xf numFmtId="0" fontId="40" fillId="6" borderId="11" xfId="0" applyFont="1" applyFill="1" applyBorder="1" applyAlignment="1">
      <alignment horizontal="center" vertical="center"/>
    </xf>
    <xf numFmtId="0" fontId="40" fillId="6" borderId="0" xfId="0" applyFont="1" applyFill="1" applyBorder="1" applyAlignment="1">
      <alignment horizontal="center" vertical="center"/>
    </xf>
    <xf numFmtId="0" fontId="40" fillId="6" borderId="12" xfId="0" applyFont="1" applyFill="1" applyBorder="1" applyAlignment="1">
      <alignment horizontal="center" vertical="center"/>
    </xf>
    <xf numFmtId="0" fontId="33" fillId="0" borderId="11"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12" xfId="0" applyFont="1" applyFill="1" applyBorder="1" applyAlignment="1">
      <alignment horizontal="center" vertical="top" wrapText="1"/>
    </xf>
    <xf numFmtId="0" fontId="41" fillId="6" borderId="11" xfId="0" applyFont="1" applyFill="1" applyBorder="1" applyAlignment="1">
      <alignment horizontal="left" vertical="center"/>
    </xf>
    <xf numFmtId="0" fontId="41" fillId="6" borderId="0" xfId="0" applyFont="1" applyFill="1" applyBorder="1" applyAlignment="1">
      <alignment horizontal="left" vertical="center"/>
    </xf>
    <xf numFmtId="0" fontId="41" fillId="6" borderId="12" xfId="0" applyFont="1" applyFill="1" applyBorder="1" applyAlignment="1">
      <alignment horizontal="left" vertical="center"/>
    </xf>
    <xf numFmtId="0" fontId="2" fillId="5" borderId="1" xfId="0" applyFont="1" applyFill="1" applyBorder="1" applyAlignment="1" applyProtection="1">
      <alignment wrapText="1"/>
      <protection locked="0"/>
    </xf>
    <xf numFmtId="0" fontId="2" fillId="5" borderId="1" xfId="1" applyNumberFormat="1" applyFont="1" applyFill="1" applyBorder="1" applyAlignment="1" applyProtection="1">
      <alignment horizontal="left" wrapText="1"/>
      <protection locked="0"/>
    </xf>
    <xf numFmtId="0" fontId="1" fillId="0" borderId="11" xfId="0" applyFont="1" applyFill="1" applyBorder="1" applyAlignment="1">
      <alignment horizontal="left" wrapText="1"/>
    </xf>
    <xf numFmtId="0" fontId="1" fillId="0" borderId="0" xfId="0" applyFont="1" applyFill="1" applyBorder="1" applyAlignment="1">
      <alignment horizontal="left" wrapText="1"/>
    </xf>
    <xf numFmtId="0" fontId="1" fillId="0" borderId="12" xfId="0" applyFont="1" applyFill="1" applyBorder="1" applyAlignment="1">
      <alignment horizontal="left" wrapText="1"/>
    </xf>
    <xf numFmtId="0" fontId="65" fillId="0" borderId="23" xfId="0" applyFont="1" applyBorder="1" applyAlignment="1">
      <alignment horizontal="center"/>
    </xf>
    <xf numFmtId="0" fontId="35" fillId="6" borderId="1" xfId="0" applyFont="1" applyFill="1" applyBorder="1" applyAlignment="1">
      <alignment horizontal="left" vertical="center" wrapText="1"/>
    </xf>
    <xf numFmtId="0" fontId="1" fillId="0" borderId="10"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33" fillId="5" borderId="1" xfId="0" applyFont="1" applyFill="1" applyBorder="1" applyAlignment="1" applyProtection="1">
      <alignment horizontal="left" vertical="center"/>
      <protection locked="0"/>
    </xf>
    <xf numFmtId="0" fontId="1" fillId="0" borderId="10"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left" vertical="center" wrapText="1"/>
      <protection locked="0"/>
    </xf>
    <xf numFmtId="0" fontId="34" fillId="5" borderId="1" xfId="0" applyFont="1" applyFill="1" applyBorder="1" applyAlignment="1" applyProtection="1">
      <alignment horizontal="left" vertical="center" wrapText="1"/>
      <protection locked="0"/>
    </xf>
    <xf numFmtId="0" fontId="3" fillId="6" borderId="1" xfId="0" applyFont="1" applyFill="1" applyBorder="1" applyAlignment="1">
      <alignment horizontal="center" wrapText="1"/>
    </xf>
    <xf numFmtId="0" fontId="43" fillId="0" borderId="1" xfId="0" applyFont="1" applyFill="1" applyBorder="1" applyAlignment="1">
      <alignment horizontal="center"/>
    </xf>
    <xf numFmtId="0" fontId="1"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45" fillId="6" borderId="16" xfId="0" applyFont="1" applyFill="1" applyBorder="1" applyAlignment="1">
      <alignment horizontal="center" vertical="center"/>
    </xf>
    <xf numFmtId="0" fontId="45" fillId="6" borderId="17" xfId="0" applyFont="1" applyFill="1" applyBorder="1" applyAlignment="1">
      <alignment horizontal="center" vertical="center"/>
    </xf>
    <xf numFmtId="0" fontId="45" fillId="6" borderId="18" xfId="0" applyFont="1" applyFill="1" applyBorder="1" applyAlignment="1">
      <alignment horizontal="center" vertical="center"/>
    </xf>
    <xf numFmtId="0" fontId="45" fillId="6" borderId="19" xfId="0" applyFont="1" applyFill="1" applyBorder="1" applyAlignment="1">
      <alignment horizontal="center" vertical="center"/>
    </xf>
    <xf numFmtId="0" fontId="45" fillId="6" borderId="0" xfId="0" applyFont="1" applyFill="1" applyBorder="1" applyAlignment="1">
      <alignment horizontal="center" vertical="center"/>
    </xf>
    <xf numFmtId="0" fontId="45" fillId="6" borderId="4" xfId="0" applyFont="1" applyFill="1" applyBorder="1" applyAlignment="1">
      <alignment horizontal="center" vertical="center"/>
    </xf>
    <xf numFmtId="0" fontId="1" fillId="0" borderId="19" xfId="0" applyFont="1" applyFill="1" applyBorder="1" applyAlignment="1">
      <alignment horizontal="center" wrapText="1"/>
    </xf>
    <xf numFmtId="0" fontId="1" fillId="0" borderId="0" xfId="0" applyFont="1" applyFill="1" applyBorder="1" applyAlignment="1">
      <alignment horizontal="center" wrapText="1"/>
    </xf>
    <xf numFmtId="0" fontId="1" fillId="0" borderId="4" xfId="0" applyFont="1" applyFill="1" applyBorder="1" applyAlignment="1">
      <alignment horizontal="center" wrapText="1"/>
    </xf>
    <xf numFmtId="0" fontId="1" fillId="0" borderId="20" xfId="0" applyFont="1" applyFill="1" applyBorder="1" applyAlignment="1">
      <alignment horizontal="center" wrapText="1"/>
    </xf>
    <xf numFmtId="0" fontId="1" fillId="0" borderId="21" xfId="0" applyFont="1" applyFill="1" applyBorder="1" applyAlignment="1">
      <alignment horizontal="center" wrapText="1"/>
    </xf>
    <xf numFmtId="0" fontId="1" fillId="0" borderId="2" xfId="0" applyFont="1" applyFill="1" applyBorder="1" applyAlignment="1">
      <alignment horizontal="center" wrapText="1"/>
    </xf>
    <xf numFmtId="0" fontId="35" fillId="4" borderId="1" xfId="0" applyFont="1" applyFill="1" applyBorder="1" applyAlignment="1">
      <alignment horizontal="left" vertical="center" wrapText="1"/>
    </xf>
    <xf numFmtId="168" fontId="3" fillId="0" borderId="1" xfId="0" applyNumberFormat="1" applyFont="1" applyFill="1" applyBorder="1" applyAlignment="1">
      <alignment horizontal="left" wrapText="1"/>
    </xf>
    <xf numFmtId="168" fontId="3" fillId="0" borderId="28" xfId="0" applyNumberFormat="1" applyFont="1" applyFill="1" applyBorder="1" applyAlignment="1">
      <alignment horizontal="left" wrapText="1"/>
    </xf>
    <xf numFmtId="0" fontId="33" fillId="0" borderId="28" xfId="0" applyFont="1" applyFill="1" applyBorder="1" applyAlignment="1">
      <alignment horizontal="left" wrapText="1"/>
    </xf>
    <xf numFmtId="0" fontId="33" fillId="0" borderId="30" xfId="0" applyFont="1" applyFill="1" applyBorder="1" applyAlignment="1">
      <alignment horizontal="left" wrapText="1"/>
    </xf>
    <xf numFmtId="0" fontId="1" fillId="0" borderId="1" xfId="0" applyFont="1" applyFill="1" applyBorder="1" applyAlignment="1">
      <alignment horizontal="left" wrapText="1"/>
    </xf>
    <xf numFmtId="0" fontId="1" fillId="0" borderId="30" xfId="0" applyFont="1" applyFill="1" applyBorder="1" applyAlignment="1">
      <alignment horizontal="left" wrapText="1"/>
    </xf>
    <xf numFmtId="0" fontId="2" fillId="0" borderId="16" xfId="0" applyFont="1" applyFill="1" applyBorder="1" applyAlignment="1">
      <alignment horizontal="center" wrapText="1"/>
    </xf>
    <xf numFmtId="0" fontId="2" fillId="0" borderId="17" xfId="0" applyFont="1" applyFill="1" applyBorder="1" applyAlignment="1">
      <alignment horizontal="center" wrapText="1"/>
    </xf>
    <xf numFmtId="0" fontId="2" fillId="0" borderId="18" xfId="0" applyFont="1" applyFill="1" applyBorder="1" applyAlignment="1">
      <alignment horizontal="center" wrapText="1"/>
    </xf>
    <xf numFmtId="0" fontId="1" fillId="5" borderId="1" xfId="0" applyFont="1" applyFill="1" applyBorder="1" applyAlignment="1">
      <alignment horizontal="center" vertical="center" wrapText="1"/>
    </xf>
    <xf numFmtId="0" fontId="42" fillId="6" borderId="29" xfId="0" applyFont="1" applyFill="1" applyBorder="1" applyAlignment="1">
      <alignment horizontal="center"/>
    </xf>
    <xf numFmtId="0" fontId="42" fillId="6" borderId="28" xfId="0" applyFont="1" applyFill="1" applyBorder="1" applyAlignment="1">
      <alignment horizontal="center"/>
    </xf>
    <xf numFmtId="0" fontId="34" fillId="0" borderId="1" xfId="0" applyFont="1" applyFill="1" applyBorder="1" applyAlignment="1" applyProtection="1">
      <alignment horizontal="left" vertical="center" wrapText="1"/>
      <protection locked="0"/>
    </xf>
    <xf numFmtId="0" fontId="35" fillId="6" borderId="10" xfId="0" applyFont="1" applyFill="1" applyBorder="1" applyAlignment="1">
      <alignment horizontal="left" vertical="center" wrapText="1"/>
    </xf>
    <xf numFmtId="0" fontId="35" fillId="6" borderId="3" xfId="0" applyFont="1" applyFill="1" applyBorder="1" applyAlignment="1">
      <alignment horizontal="left" vertical="center" wrapText="1"/>
    </xf>
    <xf numFmtId="0" fontId="1" fillId="0" borderId="1" xfId="0" applyFont="1" applyFill="1" applyBorder="1" applyAlignment="1">
      <alignment horizontal="left" vertical="center"/>
    </xf>
    <xf numFmtId="0" fontId="35" fillId="6" borderId="1" xfId="0" applyFont="1" applyFill="1" applyBorder="1" applyAlignment="1">
      <alignment horizontal="left" vertical="center"/>
    </xf>
    <xf numFmtId="0" fontId="1" fillId="5" borderId="1" xfId="0" applyFont="1" applyFill="1" applyBorder="1" applyAlignment="1" applyProtection="1">
      <alignment horizontal="left" vertical="center"/>
      <protection locked="0"/>
    </xf>
    <xf numFmtId="0" fontId="33" fillId="5" borderId="10" xfId="0" applyFont="1" applyFill="1" applyBorder="1" applyAlignment="1" applyProtection="1">
      <alignment horizontal="left" vertical="center"/>
      <protection locked="0"/>
    </xf>
    <xf numFmtId="0" fontId="33" fillId="5" borderId="3" xfId="0" applyFont="1" applyFill="1" applyBorder="1" applyAlignment="1" applyProtection="1">
      <alignment horizontal="left" vertical="center"/>
      <protection locked="0"/>
    </xf>
    <xf numFmtId="0" fontId="1" fillId="5" borderId="10" xfId="0" applyFont="1" applyFill="1" applyBorder="1" applyAlignment="1" applyProtection="1">
      <alignment horizontal="left" vertical="center"/>
      <protection locked="0"/>
    </xf>
    <xf numFmtId="0" fontId="1" fillId="5" borderId="3" xfId="0" applyFont="1" applyFill="1" applyBorder="1" applyAlignment="1" applyProtection="1">
      <alignment horizontal="left" vertical="center"/>
      <protection locked="0"/>
    </xf>
    <xf numFmtId="0" fontId="1" fillId="0" borderId="36" xfId="0" quotePrefix="1" applyFont="1" applyBorder="1" applyAlignment="1">
      <alignment horizontal="left" vertical="center"/>
    </xf>
    <xf numFmtId="0" fontId="1" fillId="0" borderId="37" xfId="0" quotePrefix="1" applyFont="1" applyBorder="1" applyAlignment="1">
      <alignment horizontal="left" vertical="center"/>
    </xf>
    <xf numFmtId="0" fontId="1" fillId="0" borderId="1" xfId="0" applyFont="1" applyFill="1" applyBorder="1" applyAlignment="1">
      <alignment horizontal="center"/>
    </xf>
    <xf numFmtId="0" fontId="1" fillId="0" borderId="1" xfId="0" applyFont="1" applyFill="1" applyBorder="1" applyAlignment="1" applyProtection="1">
      <alignment horizontal="left" vertical="center"/>
      <protection locked="0"/>
    </xf>
    <xf numFmtId="0" fontId="1" fillId="6" borderId="1" xfId="0" applyFont="1" applyFill="1" applyBorder="1" applyAlignment="1">
      <alignment horizontal="center"/>
    </xf>
    <xf numFmtId="0" fontId="4" fillId="0" borderId="1" xfId="0" applyFont="1" applyFill="1" applyBorder="1" applyAlignment="1">
      <alignment horizontal="center"/>
    </xf>
    <xf numFmtId="0" fontId="1" fillId="0" borderId="10" xfId="0" applyFont="1" applyFill="1" applyBorder="1" applyAlignment="1">
      <alignment horizontal="left" vertical="center"/>
    </xf>
    <xf numFmtId="0" fontId="1" fillId="0" borderId="5" xfId="0" applyFont="1" applyFill="1" applyBorder="1" applyAlignment="1">
      <alignment horizontal="left" vertical="center"/>
    </xf>
    <xf numFmtId="0" fontId="1" fillId="0" borderId="3" xfId="0" applyFont="1" applyFill="1" applyBorder="1" applyAlignment="1">
      <alignment horizontal="left" vertical="center"/>
    </xf>
    <xf numFmtId="0" fontId="2" fillId="0" borderId="30" xfId="0" applyFont="1" applyFill="1" applyBorder="1" applyAlignment="1">
      <alignment horizontal="center" vertical="center"/>
    </xf>
    <xf numFmtId="0" fontId="1" fillId="5" borderId="1" xfId="0" applyFont="1" applyFill="1" applyBorder="1" applyAlignment="1">
      <alignment horizontal="left" vertical="center"/>
    </xf>
    <xf numFmtId="168" fontId="1" fillId="0" borderId="1" xfId="0" applyNumberFormat="1" applyFont="1" applyFill="1" applyBorder="1" applyAlignment="1">
      <alignment horizontal="center"/>
    </xf>
    <xf numFmtId="168" fontId="1" fillId="0" borderId="28" xfId="0" applyNumberFormat="1" applyFont="1" applyFill="1" applyBorder="1" applyAlignment="1">
      <alignment horizontal="center"/>
    </xf>
    <xf numFmtId="0" fontId="2" fillId="0" borderId="29" xfId="0" applyFont="1" applyFill="1" applyBorder="1" applyAlignment="1">
      <alignment horizontal="center"/>
    </xf>
    <xf numFmtId="0" fontId="34" fillId="0" borderId="1" xfId="0" applyFont="1" applyFill="1" applyBorder="1" applyAlignment="1">
      <alignment horizontal="center"/>
    </xf>
    <xf numFmtId="0" fontId="34" fillId="0" borderId="30" xfId="0" applyFont="1" applyFill="1" applyBorder="1" applyAlignment="1">
      <alignment horizontal="center"/>
    </xf>
    <xf numFmtId="0" fontId="47" fillId="6" borderId="16" xfId="0" applyFont="1" applyFill="1" applyBorder="1" applyAlignment="1">
      <alignment horizontal="center"/>
    </xf>
    <xf numFmtId="0" fontId="47" fillId="6" borderId="17" xfId="0" applyFont="1" applyFill="1" applyBorder="1" applyAlignment="1">
      <alignment horizontal="center"/>
    </xf>
    <xf numFmtId="0" fontId="47" fillId="6" borderId="18" xfId="0" applyFont="1" applyFill="1" applyBorder="1" applyAlignment="1">
      <alignment horizontal="center"/>
    </xf>
    <xf numFmtId="0" fontId="47" fillId="6" borderId="19" xfId="0" applyFont="1" applyFill="1" applyBorder="1" applyAlignment="1">
      <alignment horizontal="center"/>
    </xf>
    <xf numFmtId="0" fontId="47" fillId="6" borderId="0" xfId="0" applyFont="1" applyFill="1" applyBorder="1" applyAlignment="1">
      <alignment horizontal="center"/>
    </xf>
    <xf numFmtId="0" fontId="47" fillId="6" borderId="4" xfId="0" applyFont="1" applyFill="1" applyBorder="1" applyAlignment="1">
      <alignment horizontal="center"/>
    </xf>
    <xf numFmtId="0" fontId="2" fillId="0" borderId="1" xfId="0" applyFont="1" applyFill="1" applyBorder="1" applyAlignment="1" applyProtection="1">
      <alignment horizontal="left" vertical="center"/>
      <protection locked="0"/>
    </xf>
    <xf numFmtId="0" fontId="1" fillId="0" borderId="10" xfId="0" applyFont="1" applyFill="1" applyBorder="1" applyAlignment="1">
      <alignment horizontal="center" vertical="center"/>
    </xf>
    <xf numFmtId="0" fontId="1" fillId="0" borderId="3" xfId="0" applyFont="1" applyFill="1" applyBorder="1" applyAlignment="1">
      <alignment horizontal="center" vertical="center"/>
    </xf>
    <xf numFmtId="0" fontId="46" fillId="6" borderId="29" xfId="0" applyFont="1" applyFill="1" applyBorder="1" applyAlignment="1">
      <alignment horizontal="center"/>
    </xf>
    <xf numFmtId="0" fontId="46" fillId="6" borderId="28" xfId="0" applyFont="1" applyFill="1" applyBorder="1" applyAlignment="1">
      <alignment horizontal="center"/>
    </xf>
    <xf numFmtId="0" fontId="1" fillId="0" borderId="1" xfId="0" applyFont="1" applyFill="1" applyBorder="1" applyAlignment="1" applyProtection="1">
      <alignment horizontal="left" vertical="center"/>
    </xf>
    <xf numFmtId="0" fontId="1" fillId="0" borderId="1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9" xfId="0" applyFont="1" applyFill="1" applyBorder="1" applyAlignment="1">
      <alignment horizontal="center"/>
    </xf>
    <xf numFmtId="0" fontId="1" fillId="0" borderId="36" xfId="0" applyFont="1" applyBorder="1" applyAlignment="1">
      <alignment horizontal="left" vertical="center"/>
    </xf>
    <xf numFmtId="0" fontId="1" fillId="0" borderId="37" xfId="0" applyFont="1" applyBorder="1" applyAlignment="1">
      <alignment horizontal="left" vertical="center"/>
    </xf>
    <xf numFmtId="0" fontId="1" fillId="5" borderId="10" xfId="0" applyFont="1" applyFill="1" applyBorder="1" applyAlignment="1" applyProtection="1">
      <alignment horizontal="left" vertical="center" wrapText="1"/>
      <protection locked="0"/>
    </xf>
    <xf numFmtId="0" fontId="1" fillId="5" borderId="3" xfId="0" applyFont="1" applyFill="1" applyBorder="1" applyAlignment="1" applyProtection="1">
      <alignment horizontal="left" vertical="center" wrapText="1"/>
      <protection locked="0"/>
    </xf>
    <xf numFmtId="0" fontId="17" fillId="0" borderId="34" xfId="0" applyFont="1" applyBorder="1" applyAlignment="1" applyProtection="1">
      <alignment horizontal="left" wrapText="1"/>
      <protection locked="0"/>
    </xf>
    <xf numFmtId="0" fontId="17" fillId="0" borderId="9" xfId="0" applyFont="1" applyBorder="1" applyAlignment="1" applyProtection="1">
      <alignment horizontal="left" wrapText="1"/>
      <protection locked="0"/>
    </xf>
    <xf numFmtId="0" fontId="17" fillId="0" borderId="35" xfId="0" applyFont="1" applyBorder="1" applyAlignment="1" applyProtection="1">
      <alignment horizontal="left" wrapText="1"/>
      <protection locked="0"/>
    </xf>
    <xf numFmtId="15" fontId="17" fillId="0" borderId="34" xfId="0" applyNumberFormat="1" applyFont="1" applyBorder="1" applyAlignment="1" applyProtection="1">
      <alignment horizontal="left"/>
      <protection locked="0"/>
    </xf>
    <xf numFmtId="15" fontId="17" fillId="0" borderId="9" xfId="0" applyNumberFormat="1" applyFont="1" applyBorder="1" applyAlignment="1" applyProtection="1">
      <alignment horizontal="left"/>
      <protection locked="0"/>
    </xf>
    <xf numFmtId="15" fontId="17" fillId="0" borderId="35" xfId="0" applyNumberFormat="1" applyFont="1" applyBorder="1" applyAlignment="1" applyProtection="1">
      <alignment horizontal="left"/>
      <protection locked="0"/>
    </xf>
    <xf numFmtId="38" fontId="17" fillId="0" borderId="0" xfId="0" applyNumberFormat="1" applyFont="1" applyAlignment="1">
      <alignment horizontal="center"/>
    </xf>
    <xf numFmtId="0" fontId="65" fillId="0" borderId="14" xfId="0" applyFont="1" applyBorder="1" applyAlignment="1">
      <alignment horizontal="center"/>
    </xf>
    <xf numFmtId="0" fontId="1" fillId="5" borderId="38" xfId="0" applyFont="1" applyFill="1" applyBorder="1" applyAlignment="1" applyProtection="1">
      <alignment horizontal="left" vertical="center" wrapText="1"/>
      <protection locked="0"/>
    </xf>
    <xf numFmtId="0" fontId="2" fillId="5" borderId="38"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left" vertical="center" wrapText="1"/>
      <protection locked="0"/>
    </xf>
    <xf numFmtId="0" fontId="1" fillId="5" borderId="38" xfId="0" applyFont="1" applyFill="1" applyBorder="1" applyAlignment="1" applyProtection="1">
      <alignment horizontal="left" vertical="center"/>
      <protection locked="0"/>
    </xf>
    <xf numFmtId="0" fontId="1" fillId="5" borderId="40" xfId="0" applyFont="1" applyFill="1" applyBorder="1" applyAlignment="1" applyProtection="1">
      <alignment horizontal="left" vertical="center" wrapText="1"/>
      <protection locked="0"/>
    </xf>
    <xf numFmtId="0" fontId="1" fillId="5" borderId="41" xfId="0" applyFont="1" applyFill="1" applyBorder="1" applyAlignment="1" applyProtection="1">
      <alignment horizontal="left" vertical="center" wrapText="1"/>
      <protection locked="0"/>
    </xf>
    <xf numFmtId="0" fontId="65" fillId="0" borderId="0" xfId="0" applyFont="1" applyAlignment="1">
      <alignment horizontal="center"/>
    </xf>
    <xf numFmtId="0" fontId="7" fillId="5" borderId="1" xfId="0" applyFont="1" applyFill="1" applyBorder="1" applyAlignment="1" applyProtection="1">
      <alignment horizontal="left" vertical="center" wrapText="1"/>
      <protection locked="0"/>
    </xf>
    <xf numFmtId="0" fontId="2" fillId="5" borderId="10" xfId="0" applyFont="1" applyFill="1" applyBorder="1" applyAlignment="1" applyProtection="1">
      <alignment horizontal="left" vertical="center" wrapText="1"/>
      <protection locked="0"/>
    </xf>
    <xf numFmtId="0" fontId="2" fillId="5" borderId="3" xfId="0" applyFont="1" applyFill="1" applyBorder="1" applyAlignment="1" applyProtection="1">
      <alignment horizontal="left" vertical="center" wrapText="1"/>
      <protection locked="0"/>
    </xf>
    <xf numFmtId="0" fontId="2" fillId="5" borderId="10"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48" fillId="7" borderId="31" xfId="0" applyFont="1" applyFill="1" applyBorder="1" applyAlignment="1">
      <alignment horizontal="center"/>
    </xf>
    <xf numFmtId="0" fontId="48" fillId="7" borderId="32" xfId="0" applyFont="1" applyFill="1" applyBorder="1" applyAlignment="1">
      <alignment horizontal="center"/>
    </xf>
    <xf numFmtId="0" fontId="48" fillId="7" borderId="33" xfId="0" applyFont="1" applyFill="1" applyBorder="1" applyAlignment="1">
      <alignment horizontal="center"/>
    </xf>
    <xf numFmtId="174" fontId="54" fillId="0" borderId="0" xfId="6" applyNumberFormat="1" applyFont="1" applyAlignment="1">
      <alignment horizontal="center" vertical="center"/>
    </xf>
    <xf numFmtId="174" fontId="17" fillId="0" borderId="0" xfId="6" applyNumberFormat="1" applyFont="1" applyAlignment="1">
      <alignment horizontal="center" vertical="center"/>
    </xf>
    <xf numFmtId="174" fontId="18" fillId="0" borderId="0" xfId="6" applyNumberFormat="1" applyFont="1" applyAlignment="1">
      <alignment horizontal="center" vertical="center"/>
    </xf>
    <xf numFmtId="0" fontId="57" fillId="8" borderId="34" xfId="0" applyFont="1" applyFill="1" applyBorder="1" applyAlignment="1" applyProtection="1">
      <alignment horizontal="center"/>
      <protection locked="0"/>
    </xf>
    <xf numFmtId="0" fontId="57" fillId="8" borderId="9" xfId="0" applyFont="1" applyFill="1" applyBorder="1" applyAlignment="1" applyProtection="1">
      <alignment horizontal="center"/>
      <protection locked="0"/>
    </xf>
    <xf numFmtId="0" fontId="57" fillId="8" borderId="35" xfId="0" applyFont="1" applyFill="1" applyBorder="1" applyAlignment="1" applyProtection="1">
      <alignment horizontal="center"/>
      <protection locked="0"/>
    </xf>
  </cellXfs>
  <cellStyles count="8">
    <cellStyle name="Comma" xfId="1" builtinId="3"/>
    <cellStyle name="Comma_Tax Estimate 2003 rates" xfId="2" xr:uid="{00000000-0005-0000-0000-000001000000}"/>
    <cellStyle name="Currency" xfId="3" builtinId="4"/>
    <cellStyle name="Hyperlink" xfId="4" builtinId="8"/>
    <cellStyle name="Normal" xfId="0" builtinId="0"/>
    <cellStyle name="Normal 2" xfId="7" xr:uid="{00000000-0005-0000-0000-000005000000}"/>
    <cellStyle name="Normal 5" xfId="6" xr:uid="{00000000-0005-0000-0000-000006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i/Downloads/Tham%20Tax%20Planning%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DSWIN2K\BOS\windows\TEMP\Accountants%20Time%20Saver%20Package%20Series%201%20V97\1.%20Rule%20of%2078%20Loan%20Amortiz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Workpaper Checklist"/>
      <sheetName val="Agenda"/>
      <sheetName val="Issues Checklist"/>
      <sheetName val="Balance Sheet - 2018"/>
      <sheetName val="Balance Sheet - Monthly Wise"/>
      <sheetName val="Profit  Loss - 2018"/>
      <sheetName val="Profit&amp;Loss - 2018 Monthly wise"/>
      <sheetName val="Balance Sheet - 2019"/>
      <sheetName val="Balance Sheet - 2019 Monthly wi"/>
      <sheetName val="P &amp; L - 2019"/>
      <sheetName val="Profit &amp; Loss - 2019 Monthly "/>
      <sheetName val="Depreciation Schedule - 2018"/>
      <sheetName val="Depreciation Schedule - 2019"/>
      <sheetName val="Queries"/>
      <sheetName val="Adjustments"/>
      <sheetName val="GST and PAYG"/>
      <sheetName val="Div7A Calc"/>
      <sheetName val="Dividend Application"/>
      <sheetName val="Franking Credits"/>
      <sheetName val="Rental Property"/>
      <sheetName val="P&amp;L Wrksht"/>
      <sheetName val="Depreciation Schedule - 2019 "/>
      <sheetName val="Worksheet"/>
      <sheetName val="Worksheet2"/>
      <sheetName val="COVER PAGE"/>
      <sheetName val="COMPILATION REPORT"/>
      <sheetName val="CLIENT SUMMARY"/>
      <sheetName val="SCENARIO 1"/>
      <sheetName val="ACTION LIST"/>
      <sheetName val="SCENARIO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8">
          <cell r="L18">
            <v>905.34</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7">
          <cell r="G7">
            <v>0</v>
          </cell>
        </row>
      </sheetData>
      <sheetData sheetId="24">
        <row r="7">
          <cell r="J7" t="str">
            <v>Total</v>
          </cell>
        </row>
        <row r="8">
          <cell r="D8">
            <v>0</v>
          </cell>
          <cell r="E8">
            <v>0</v>
          </cell>
          <cell r="F8">
            <v>0</v>
          </cell>
          <cell r="G8">
            <v>0</v>
          </cell>
          <cell r="H8">
            <v>0</v>
          </cell>
          <cell r="I8">
            <v>0</v>
          </cell>
        </row>
        <row r="16">
          <cell r="A16" t="str">
            <v>Transfers:</v>
          </cell>
        </row>
        <row r="17">
          <cell r="A17" t="str">
            <v>Salary From Company</v>
          </cell>
        </row>
        <row r="18">
          <cell r="A18" t="str">
            <v>Beneficiary Distributions</v>
          </cell>
        </row>
        <row r="19">
          <cell r="A19" t="str">
            <v>Prior year tax losses</v>
          </cell>
        </row>
        <row r="22">
          <cell r="A22" t="str">
            <v>Other Adjustments</v>
          </cell>
        </row>
        <row r="23">
          <cell r="A23" t="str">
            <v>Other Adjustments</v>
          </cell>
        </row>
        <row r="24">
          <cell r="A24" t="str">
            <v>Other Adjustments</v>
          </cell>
        </row>
        <row r="25">
          <cell r="A25" t="str">
            <v>Other Adjustments</v>
          </cell>
        </row>
        <row r="26">
          <cell r="A26" t="str">
            <v>Other Adjustments</v>
          </cell>
        </row>
        <row r="28">
          <cell r="A28" t="str">
            <v>Estimated Taxable Income</v>
          </cell>
          <cell r="I28">
            <v>0</v>
          </cell>
        </row>
        <row r="34">
          <cell r="A34" t="str">
            <v>Total Tax Payable</v>
          </cell>
        </row>
      </sheetData>
      <sheetData sheetId="25" refreshError="1"/>
      <sheetData sheetId="26" refreshError="1"/>
      <sheetData sheetId="27" refreshError="1"/>
      <sheetData sheetId="28" refreshError="1"/>
      <sheetData sheetId="29" refreshError="1"/>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heetName val="AMORT"/>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pm.gov.au/media/immediate-small-business-support-bushfire-affected-communitie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40"/>
  <sheetViews>
    <sheetView workbookViewId="0">
      <selection activeCell="G7" sqref="G7"/>
    </sheetView>
  </sheetViews>
  <sheetFormatPr defaultColWidth="9.140625" defaultRowHeight="16.5" x14ac:dyDescent="0.3"/>
  <cols>
    <col min="1" max="1" width="10.140625" style="1" customWidth="1"/>
    <col min="2" max="2" width="9.140625" style="1"/>
    <col min="3" max="3" width="19.5703125" style="1" customWidth="1"/>
    <col min="4" max="4" width="30.140625" style="1" customWidth="1"/>
    <col min="5" max="5" width="19.85546875" style="1" customWidth="1"/>
    <col min="6" max="6" width="9.140625" style="1"/>
    <col min="7" max="7" width="29.42578125" style="1" customWidth="1"/>
    <col min="8" max="16384" width="9.140625" style="1"/>
  </cols>
  <sheetData>
    <row r="1" spans="1:8" s="25" customFormat="1" ht="31.5" customHeight="1" x14ac:dyDescent="0.3">
      <c r="A1" s="292" t="s">
        <v>32</v>
      </c>
      <c r="B1" s="293"/>
      <c r="C1" s="293"/>
      <c r="D1" s="293"/>
      <c r="E1" s="293"/>
      <c r="F1" s="293"/>
      <c r="G1" s="294"/>
      <c r="H1" s="1"/>
    </row>
    <row r="2" spans="1:8" ht="18" customHeight="1" x14ac:dyDescent="0.3">
      <c r="A2" s="295"/>
      <c r="B2" s="296"/>
      <c r="C2" s="296"/>
      <c r="D2" s="296"/>
      <c r="E2" s="296"/>
      <c r="F2" s="296"/>
      <c r="G2" s="297"/>
    </row>
    <row r="3" spans="1:8" ht="15.75" customHeight="1" x14ac:dyDescent="0.3">
      <c r="A3" s="85"/>
      <c r="B3" s="26"/>
      <c r="C3" s="26"/>
      <c r="D3" s="26"/>
      <c r="E3" s="26"/>
      <c r="F3" s="26"/>
      <c r="G3" s="86"/>
    </row>
    <row r="4" spans="1:8" ht="18" customHeight="1" x14ac:dyDescent="0.3">
      <c r="A4" s="298" t="s">
        <v>195</v>
      </c>
      <c r="B4" s="299"/>
      <c r="C4" s="299"/>
      <c r="D4" s="299"/>
      <c r="E4" s="299"/>
      <c r="F4" s="299"/>
      <c r="G4" s="300"/>
    </row>
    <row r="5" spans="1:8" ht="9.75" customHeight="1" x14ac:dyDescent="0.3">
      <c r="A5" s="87"/>
      <c r="B5" s="27"/>
      <c r="C5" s="27"/>
      <c r="D5" s="27"/>
      <c r="E5" s="27"/>
      <c r="F5" s="27"/>
      <c r="G5" s="88"/>
    </row>
    <row r="6" spans="1:8" ht="18" customHeight="1" x14ac:dyDescent="0.3">
      <c r="A6" s="89"/>
      <c r="B6" s="28"/>
      <c r="C6" s="29" t="s">
        <v>19</v>
      </c>
      <c r="D6" s="307" t="s">
        <v>436</v>
      </c>
      <c r="E6" s="307"/>
      <c r="F6" s="26"/>
      <c r="G6" s="86"/>
    </row>
    <row r="7" spans="1:8" ht="18" customHeight="1" x14ac:dyDescent="0.3">
      <c r="A7" s="89"/>
      <c r="B7" s="28"/>
      <c r="C7" s="28"/>
      <c r="D7" s="291"/>
      <c r="E7" s="291"/>
      <c r="F7" s="26"/>
      <c r="G7" s="86"/>
    </row>
    <row r="8" spans="1:8" ht="18" customHeight="1" x14ac:dyDescent="0.3">
      <c r="A8" s="89"/>
      <c r="B8" s="28"/>
      <c r="C8" s="28"/>
      <c r="D8" s="291" t="s">
        <v>437</v>
      </c>
      <c r="E8" s="291"/>
      <c r="F8" s="26"/>
      <c r="G8" s="86"/>
    </row>
    <row r="9" spans="1:8" ht="18" customHeight="1" x14ac:dyDescent="0.3">
      <c r="A9" s="89"/>
      <c r="B9" s="28"/>
      <c r="C9" s="28"/>
      <c r="D9" s="291" t="s">
        <v>438</v>
      </c>
      <c r="E9" s="291"/>
      <c r="F9" s="26"/>
      <c r="G9" s="86"/>
    </row>
    <row r="10" spans="1:8" ht="18" customHeight="1" x14ac:dyDescent="0.3">
      <c r="A10" s="89"/>
      <c r="B10" s="28"/>
      <c r="C10" s="28"/>
      <c r="D10" s="291" t="s">
        <v>439</v>
      </c>
      <c r="E10" s="291"/>
      <c r="F10" s="26"/>
      <c r="G10" s="86"/>
    </row>
    <row r="11" spans="1:8" ht="18" customHeight="1" x14ac:dyDescent="0.3">
      <c r="A11" s="89"/>
      <c r="B11" s="28"/>
      <c r="C11" s="28"/>
      <c r="D11" s="291" t="s">
        <v>440</v>
      </c>
      <c r="E11" s="291"/>
      <c r="F11" s="26"/>
      <c r="G11" s="86"/>
    </row>
    <row r="12" spans="1:8" ht="18" customHeight="1" x14ac:dyDescent="0.3">
      <c r="A12" s="89"/>
      <c r="B12" s="28"/>
      <c r="C12" s="28"/>
      <c r="D12" s="291" t="s">
        <v>441</v>
      </c>
      <c r="E12" s="291"/>
      <c r="F12" s="26"/>
      <c r="G12" s="86"/>
    </row>
    <row r="13" spans="1:8" ht="18" customHeight="1" x14ac:dyDescent="0.3">
      <c r="A13" s="89"/>
      <c r="B13" s="28"/>
      <c r="C13" s="28"/>
      <c r="D13" s="28"/>
      <c r="E13" s="28"/>
      <c r="F13" s="26"/>
      <c r="G13" s="86"/>
    </row>
    <row r="14" spans="1:8" ht="18" customHeight="1" x14ac:dyDescent="0.3">
      <c r="A14" s="89"/>
      <c r="B14" s="28"/>
      <c r="C14" s="30"/>
      <c r="D14" s="31" t="s">
        <v>12</v>
      </c>
      <c r="E14" s="32" t="s">
        <v>13</v>
      </c>
      <c r="F14" s="26"/>
      <c r="G14" s="86"/>
    </row>
    <row r="15" spans="1:8" ht="18" customHeight="1" x14ac:dyDescent="0.3">
      <c r="A15" s="89"/>
      <c r="B15" s="28"/>
      <c r="C15" s="29" t="s">
        <v>14</v>
      </c>
      <c r="D15" s="80"/>
      <c r="E15" s="41"/>
      <c r="F15" s="26"/>
      <c r="G15" s="86"/>
    </row>
    <row r="16" spans="1:8" ht="18" hidden="1" customHeight="1" x14ac:dyDescent="0.3">
      <c r="A16" s="89"/>
      <c r="B16" s="28"/>
      <c r="C16" s="29" t="s">
        <v>15</v>
      </c>
      <c r="D16" s="80" t="s">
        <v>29</v>
      </c>
      <c r="E16" s="41" t="s">
        <v>30</v>
      </c>
      <c r="F16" s="26"/>
      <c r="G16" s="86"/>
    </row>
    <row r="17" spans="1:7" ht="18" customHeight="1" x14ac:dyDescent="0.3">
      <c r="A17" s="89"/>
      <c r="B17" s="28"/>
      <c r="C17" s="33"/>
      <c r="D17" s="34"/>
      <c r="E17" s="35"/>
      <c r="F17" s="26"/>
      <c r="G17" s="86"/>
    </row>
    <row r="18" spans="1:7" ht="18" hidden="1" customHeight="1" x14ac:dyDescent="0.3">
      <c r="A18" s="89"/>
      <c r="B18" s="28"/>
      <c r="C18" s="29" t="s">
        <v>16</v>
      </c>
      <c r="D18" s="308" t="s">
        <v>66</v>
      </c>
      <c r="E18" s="308"/>
      <c r="F18" s="26"/>
      <c r="G18" s="86"/>
    </row>
    <row r="19" spans="1:7" ht="18" customHeight="1" x14ac:dyDescent="0.3">
      <c r="A19" s="85"/>
      <c r="B19" s="26"/>
      <c r="C19" s="36"/>
      <c r="D19" s="37"/>
      <c r="E19" s="38"/>
      <c r="F19" s="26"/>
      <c r="G19" s="86"/>
    </row>
    <row r="20" spans="1:7" ht="18" customHeight="1" x14ac:dyDescent="0.3">
      <c r="A20" s="304" t="s">
        <v>33</v>
      </c>
      <c r="B20" s="305"/>
      <c r="C20" s="305"/>
      <c r="D20" s="305"/>
      <c r="E20" s="305"/>
      <c r="F20" s="305"/>
      <c r="G20" s="306"/>
    </row>
    <row r="21" spans="1:7" ht="9" customHeight="1" x14ac:dyDescent="0.3">
      <c r="A21" s="85"/>
      <c r="B21" s="26"/>
      <c r="C21" s="26"/>
      <c r="D21" s="26"/>
      <c r="E21" s="26"/>
      <c r="F21" s="26"/>
      <c r="G21" s="86"/>
    </row>
    <row r="22" spans="1:7" ht="18" customHeight="1" x14ac:dyDescent="0.3">
      <c r="A22" s="90" t="s">
        <v>435</v>
      </c>
      <c r="B22" s="28"/>
      <c r="C22" s="28"/>
      <c r="D22" s="28"/>
      <c r="E22" s="28"/>
      <c r="F22" s="26"/>
      <c r="G22" s="86"/>
    </row>
    <row r="23" spans="1:7" ht="18" customHeight="1" x14ac:dyDescent="0.3">
      <c r="A23" s="90" t="s">
        <v>5</v>
      </c>
      <c r="B23" s="28"/>
      <c r="C23" s="28"/>
      <c r="D23" s="28"/>
      <c r="E23" s="28"/>
      <c r="F23" s="26"/>
      <c r="G23" s="86"/>
    </row>
    <row r="24" spans="1:7" ht="18" customHeight="1" x14ac:dyDescent="0.3">
      <c r="A24" s="90" t="s">
        <v>23</v>
      </c>
      <c r="B24" s="28"/>
      <c r="C24" s="28"/>
      <c r="D24" s="28"/>
      <c r="E24" s="28"/>
      <c r="F24" s="26"/>
      <c r="G24" s="86"/>
    </row>
    <row r="25" spans="1:7" ht="18" customHeight="1" x14ac:dyDescent="0.3">
      <c r="A25" s="90" t="s">
        <v>47</v>
      </c>
      <c r="B25" s="28"/>
      <c r="C25" s="28"/>
      <c r="D25" s="28"/>
      <c r="E25" s="28"/>
      <c r="F25" s="26"/>
      <c r="G25" s="86"/>
    </row>
    <row r="26" spans="1:7" ht="9" customHeight="1" x14ac:dyDescent="0.3">
      <c r="A26" s="91"/>
      <c r="B26" s="28"/>
      <c r="C26" s="28"/>
      <c r="D26" s="28"/>
      <c r="E26" s="28"/>
      <c r="F26" s="26"/>
      <c r="G26" s="86"/>
    </row>
    <row r="27" spans="1:7" ht="9" customHeight="1" x14ac:dyDescent="0.3">
      <c r="A27" s="91"/>
      <c r="B27" s="28"/>
      <c r="C27" s="28"/>
      <c r="D27" s="28"/>
      <c r="E27" s="28"/>
      <c r="F27" s="26"/>
      <c r="G27" s="86"/>
    </row>
    <row r="28" spans="1:7" ht="18" hidden="1" customHeight="1" x14ac:dyDescent="0.3">
      <c r="A28" s="304" t="s">
        <v>34</v>
      </c>
      <c r="B28" s="305"/>
      <c r="C28" s="305"/>
      <c r="D28" s="305"/>
      <c r="E28" s="305"/>
      <c r="F28" s="305"/>
      <c r="G28" s="306"/>
    </row>
    <row r="29" spans="1:7" ht="9" hidden="1" customHeight="1" x14ac:dyDescent="0.3">
      <c r="A29" s="92"/>
      <c r="B29" s="26"/>
      <c r="C29" s="26"/>
      <c r="D29" s="26"/>
      <c r="E29" s="26"/>
      <c r="F29" s="26"/>
      <c r="G29" s="86"/>
    </row>
    <row r="30" spans="1:7" ht="18" hidden="1" customHeight="1" x14ac:dyDescent="0.3">
      <c r="A30" s="309" t="s">
        <v>54</v>
      </c>
      <c r="B30" s="310"/>
      <c r="C30" s="310"/>
      <c r="D30" s="310"/>
      <c r="E30" s="310"/>
      <c r="F30" s="310"/>
      <c r="G30" s="311"/>
    </row>
    <row r="31" spans="1:7" ht="18" hidden="1" customHeight="1" x14ac:dyDescent="0.3">
      <c r="A31" s="93" t="s">
        <v>52</v>
      </c>
      <c r="B31" s="28"/>
      <c r="C31" s="28"/>
      <c r="D31" s="28"/>
      <c r="E31" s="28"/>
      <c r="F31" s="28"/>
      <c r="G31" s="86"/>
    </row>
    <row r="32" spans="1:7" ht="18" hidden="1" customHeight="1" x14ac:dyDescent="0.3">
      <c r="A32" s="93" t="s">
        <v>53</v>
      </c>
      <c r="B32" s="28"/>
      <c r="C32" s="28"/>
      <c r="D32" s="28"/>
      <c r="E32" s="28"/>
      <c r="F32" s="28"/>
      <c r="G32" s="86"/>
    </row>
    <row r="33" spans="1:7" ht="18" hidden="1" customHeight="1" x14ac:dyDescent="0.3">
      <c r="A33" s="301" t="s">
        <v>31</v>
      </c>
      <c r="B33" s="302"/>
      <c r="C33" s="302"/>
      <c r="D33" s="302"/>
      <c r="E33" s="302"/>
      <c r="F33" s="302"/>
      <c r="G33" s="303"/>
    </row>
    <row r="34" spans="1:7" ht="18" hidden="1" customHeight="1" x14ac:dyDescent="0.3">
      <c r="A34" s="301"/>
      <c r="B34" s="302"/>
      <c r="C34" s="302"/>
      <c r="D34" s="302"/>
      <c r="E34" s="302"/>
      <c r="F34" s="302"/>
      <c r="G34" s="303"/>
    </row>
    <row r="35" spans="1:7" ht="18" hidden="1" customHeight="1" x14ac:dyDescent="0.3">
      <c r="A35" s="301"/>
      <c r="B35" s="302"/>
      <c r="C35" s="302"/>
      <c r="D35" s="302"/>
      <c r="E35" s="302"/>
      <c r="F35" s="302"/>
      <c r="G35" s="303"/>
    </row>
    <row r="36" spans="1:7" ht="18" hidden="1" customHeight="1" x14ac:dyDescent="0.3">
      <c r="A36" s="94"/>
      <c r="B36" s="26"/>
      <c r="C36" s="26"/>
      <c r="D36" s="26"/>
      <c r="E36" s="26"/>
      <c r="F36" s="26"/>
      <c r="G36" s="86"/>
    </row>
    <row r="37" spans="1:7" ht="18" customHeight="1" x14ac:dyDescent="0.3">
      <c r="A37" s="95"/>
      <c r="B37" s="28"/>
      <c r="C37" s="28"/>
      <c r="D37" s="26"/>
      <c r="E37" s="26"/>
      <c r="F37" s="26"/>
      <c r="G37" s="86"/>
    </row>
    <row r="38" spans="1:7" ht="18" customHeight="1" thickBot="1" x14ac:dyDescent="0.35">
      <c r="A38" s="96"/>
      <c r="B38" s="97"/>
      <c r="C38" s="97"/>
      <c r="D38" s="97"/>
      <c r="E38" s="97"/>
      <c r="F38" s="97"/>
      <c r="G38" s="98"/>
    </row>
    <row r="39" spans="1:7" x14ac:dyDescent="0.3">
      <c r="A39" s="39"/>
      <c r="B39" s="40"/>
      <c r="C39" s="40"/>
      <c r="D39" s="40"/>
      <c r="E39" s="40"/>
      <c r="F39" s="40"/>
      <c r="G39" s="40"/>
    </row>
    <row r="40" spans="1:7" x14ac:dyDescent="0.3">
      <c r="A40" s="39"/>
      <c r="B40" s="40"/>
      <c r="C40" s="40"/>
      <c r="D40" s="40"/>
      <c r="E40" s="40"/>
      <c r="F40" s="40"/>
      <c r="G40" s="40"/>
    </row>
  </sheetData>
  <customSheetViews>
    <customSheetView guid="{021DB28E-2E98-411A-B70D-B795B40C598B}" showPageBreaks="1" fitToPage="1" printArea="1" hiddenRows="1">
      <selection sqref="A1:G2"/>
      <pageMargins left="0.31496062992125984" right="0.27559055118110237" top="0.35433070866141736" bottom="0.39370078740157483" header="0.27559055118110237" footer="0.19685039370078741"/>
      <printOptions horizontalCentered="1"/>
      <pageSetup paperSize="9" scale="77" orientation="portrait" r:id="rId1"/>
      <headerFooter>
        <oddFooter>&amp;L© 2014 Change GPS Pty Ltd&amp;R&amp;G</oddFooter>
      </headerFooter>
    </customSheetView>
  </customSheetViews>
  <mergeCells count="14">
    <mergeCell ref="D12:E12"/>
    <mergeCell ref="A1:G2"/>
    <mergeCell ref="A4:G4"/>
    <mergeCell ref="A33:G35"/>
    <mergeCell ref="A20:G20"/>
    <mergeCell ref="A28:G28"/>
    <mergeCell ref="D6:E6"/>
    <mergeCell ref="D18:E18"/>
    <mergeCell ref="A30:G30"/>
    <mergeCell ref="D7:E7"/>
    <mergeCell ref="D8:E8"/>
    <mergeCell ref="D9:E9"/>
    <mergeCell ref="D10:E10"/>
    <mergeCell ref="D11:E11"/>
  </mergeCells>
  <printOptions horizontalCentered="1"/>
  <pageMargins left="0.31496062992125984" right="0.27559055118110237" top="0.35433070866141736" bottom="0.39370078740157483" header="0.27559055118110237" footer="0.19685039370078741"/>
  <pageSetup paperSize="9" scale="76" orientation="portrait" r:id="rId2"/>
  <headerFooter>
    <oddFooter>&amp;L© 2014 Change GPS Pty Ltd&amp;R&amp;G</oddFoot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10"/>
  <sheetViews>
    <sheetView topLeftCell="A13" zoomScale="73" zoomScaleNormal="73" workbookViewId="0">
      <selection activeCell="A17" sqref="A17:B17"/>
    </sheetView>
  </sheetViews>
  <sheetFormatPr defaultColWidth="9.140625" defaultRowHeight="15" x14ac:dyDescent="0.25"/>
  <cols>
    <col min="1" max="1" width="45.5703125" style="57" customWidth="1"/>
    <col min="2" max="2" width="20" style="57" customWidth="1"/>
    <col min="3" max="3" width="32.140625" style="192" bestFit="1" customWidth="1"/>
    <col min="4" max="4" width="16.42578125" style="192" customWidth="1"/>
    <col min="5" max="11" width="9.140625" style="57"/>
    <col min="12" max="15" width="0" style="57" hidden="1" customWidth="1"/>
    <col min="16" max="16384" width="9.140625" style="57"/>
  </cols>
  <sheetData>
    <row r="1" spans="1:14" ht="18.75" x14ac:dyDescent="0.3">
      <c r="A1" s="417" t="s">
        <v>458</v>
      </c>
      <c r="B1" s="417"/>
      <c r="C1" s="417"/>
      <c r="D1" s="417"/>
    </row>
    <row r="2" spans="1:14" x14ac:dyDescent="0.25">
      <c r="C2" s="192" t="s">
        <v>281</v>
      </c>
      <c r="D2" s="192" t="s">
        <v>282</v>
      </c>
    </row>
    <row r="3" spans="1:14" ht="66" customHeight="1" x14ac:dyDescent="0.25">
      <c r="A3" s="413" t="s">
        <v>285</v>
      </c>
      <c r="B3" s="413"/>
      <c r="C3" s="63"/>
      <c r="D3" s="63"/>
      <c r="L3" s="2"/>
      <c r="M3" s="2" t="s">
        <v>222</v>
      </c>
      <c r="N3" s="2" t="s">
        <v>223</v>
      </c>
    </row>
    <row r="4" spans="1:14" ht="35.25" customHeight="1" x14ac:dyDescent="0.25">
      <c r="A4" s="413" t="s">
        <v>297</v>
      </c>
      <c r="B4" s="413"/>
      <c r="C4" s="181"/>
      <c r="D4" s="181"/>
      <c r="L4" s="2" t="s">
        <v>41</v>
      </c>
      <c r="M4" s="2"/>
      <c r="N4" s="2"/>
    </row>
    <row r="5" spans="1:14" ht="35.25" customHeight="1" x14ac:dyDescent="0.25">
      <c r="A5" s="321" t="s">
        <v>295</v>
      </c>
      <c r="B5" s="321"/>
      <c r="C5" s="198" t="s">
        <v>41</v>
      </c>
      <c r="D5" s="204" t="s">
        <v>41</v>
      </c>
      <c r="L5" s="2" t="s">
        <v>42</v>
      </c>
      <c r="M5" s="2"/>
      <c r="N5" s="2"/>
    </row>
    <row r="6" spans="1:14" ht="16.5" x14ac:dyDescent="0.25">
      <c r="A6" s="413" t="s">
        <v>294</v>
      </c>
      <c r="B6" s="413"/>
      <c r="C6" s="179">
        <v>37000</v>
      </c>
      <c r="D6" s="179">
        <v>125000</v>
      </c>
      <c r="E6" s="57" t="s">
        <v>325</v>
      </c>
      <c r="L6" s="2"/>
      <c r="M6" s="2"/>
      <c r="N6" s="2"/>
    </row>
    <row r="7" spans="1:14" ht="61.5" customHeight="1" x14ac:dyDescent="0.25">
      <c r="A7" s="321" t="s">
        <v>341</v>
      </c>
      <c r="B7" s="321"/>
      <c r="C7" s="179">
        <f>+IF(C5=0,0,IF(C5="YES",C6,IF(C5="No",0,0)))</f>
        <v>37000</v>
      </c>
      <c r="D7" s="179">
        <f>+IF(D5=0,0,IF(D5="YES",D6,IF(D5="No",0,0)))</f>
        <v>125000</v>
      </c>
      <c r="L7" s="2"/>
      <c r="M7" s="2"/>
      <c r="N7" s="2"/>
    </row>
    <row r="8" spans="1:14" ht="16.5" x14ac:dyDescent="0.25">
      <c r="A8" s="413"/>
      <c r="B8" s="413"/>
      <c r="C8" s="181"/>
      <c r="D8" s="181"/>
      <c r="L8" s="2"/>
      <c r="M8" s="2"/>
      <c r="N8" s="2"/>
    </row>
    <row r="9" spans="1:14" ht="28.5" customHeight="1" x14ac:dyDescent="0.25">
      <c r="A9" s="413" t="s">
        <v>342</v>
      </c>
      <c r="B9" s="413"/>
      <c r="C9" s="181"/>
      <c r="D9" s="181"/>
      <c r="L9" s="2"/>
      <c r="M9" s="2"/>
      <c r="N9" s="2"/>
    </row>
    <row r="10" spans="1:14" ht="27.75" customHeight="1" x14ac:dyDescent="0.25">
      <c r="A10" s="413" t="s">
        <v>343</v>
      </c>
      <c r="B10" s="413"/>
      <c r="C10" s="204" t="s">
        <v>41</v>
      </c>
      <c r="D10" s="204" t="s">
        <v>41</v>
      </c>
      <c r="L10" s="2"/>
      <c r="M10" s="2"/>
      <c r="N10" s="2"/>
    </row>
    <row r="11" spans="1:14" ht="16.5" x14ac:dyDescent="0.25">
      <c r="A11" s="413" t="s">
        <v>296</v>
      </c>
      <c r="B11" s="413"/>
      <c r="C11" s="179">
        <v>27500</v>
      </c>
      <c r="D11" s="179">
        <v>150001</v>
      </c>
      <c r="E11" s="57" t="s">
        <v>326</v>
      </c>
      <c r="L11" s="2"/>
      <c r="M11" s="2"/>
      <c r="N11" s="2"/>
    </row>
    <row r="12" spans="1:14" ht="62.25" customHeight="1" x14ac:dyDescent="0.25">
      <c r="A12" s="321" t="s">
        <v>231</v>
      </c>
      <c r="B12" s="321"/>
      <c r="C12" s="179">
        <f>+IF(C10=0,0,IF(C10="YES",(C11*50%),IF(C10="No",0,0)))</f>
        <v>13750</v>
      </c>
      <c r="D12" s="179">
        <f>+IF(D10=0,0,IF(D10="YES",(D11*50%),IF(D10="No",0,0)))</f>
        <v>75000.5</v>
      </c>
      <c r="L12" s="2"/>
      <c r="M12" s="2"/>
      <c r="N12" s="2"/>
    </row>
    <row r="13" spans="1:14" ht="16.5" x14ac:dyDescent="0.25">
      <c r="A13" s="413"/>
      <c r="B13" s="413"/>
      <c r="C13" s="181"/>
      <c r="D13" s="181"/>
      <c r="L13" s="2"/>
      <c r="M13" s="2"/>
      <c r="N13" s="2"/>
    </row>
    <row r="14" spans="1:14" ht="16.5" x14ac:dyDescent="0.25">
      <c r="A14" s="413" t="s">
        <v>233</v>
      </c>
      <c r="B14" s="413"/>
      <c r="C14" s="181"/>
      <c r="D14" s="181"/>
      <c r="L14" s="2"/>
      <c r="M14" s="2"/>
      <c r="N14" s="2"/>
    </row>
    <row r="15" spans="1:14" ht="51" customHeight="1" x14ac:dyDescent="0.25">
      <c r="A15" s="321" t="s">
        <v>344</v>
      </c>
      <c r="B15" s="321"/>
      <c r="C15" s="181"/>
      <c r="D15" s="181"/>
      <c r="L15" s="2"/>
      <c r="M15" s="2"/>
      <c r="N15" s="2"/>
    </row>
    <row r="16" spans="1:14" ht="16.5" x14ac:dyDescent="0.25">
      <c r="A16" s="321" t="s">
        <v>345</v>
      </c>
      <c r="B16" s="321"/>
      <c r="C16" s="181">
        <v>20</v>
      </c>
      <c r="D16" s="181">
        <v>21</v>
      </c>
      <c r="L16" s="2"/>
      <c r="M16" s="2"/>
      <c r="N16" s="2"/>
    </row>
    <row r="17" spans="1:14" ht="16.5" x14ac:dyDescent="0.25">
      <c r="A17" s="321" t="s">
        <v>298</v>
      </c>
      <c r="B17" s="321"/>
      <c r="C17" s="181" t="str">
        <f>+IF(C16&lt;21,"Applicable","Not Applicable")</f>
        <v>Applicable</v>
      </c>
      <c r="D17" s="181" t="str">
        <f>+IF(D16&lt;21,"Applicable","Not Applicable")</f>
        <v>Not Applicable</v>
      </c>
      <c r="L17" s="2"/>
      <c r="M17" s="2"/>
      <c r="N17" s="2"/>
    </row>
    <row r="18" spans="1:14" ht="16.5" x14ac:dyDescent="0.3">
      <c r="A18" s="321" t="s">
        <v>361</v>
      </c>
      <c r="B18" s="321"/>
      <c r="C18" s="183">
        <f>7500*C16</f>
        <v>150000</v>
      </c>
      <c r="D18" s="181" t="str">
        <f>+IF(D17="Not Applicable","Not Applicable",0)</f>
        <v>Not Applicable</v>
      </c>
      <c r="L18" s="2"/>
      <c r="M18" s="2"/>
      <c r="N18" s="2"/>
    </row>
    <row r="19" spans="1:14" ht="69" customHeight="1" x14ac:dyDescent="0.3">
      <c r="A19" s="413" t="s">
        <v>346</v>
      </c>
      <c r="B19" s="413"/>
      <c r="C19" s="183">
        <f>IF(C18&gt;(7000*C16),(7000*C16),C18)</f>
        <v>140000</v>
      </c>
      <c r="D19" s="181" t="str">
        <f>+IF(D18="Not Applicable","Not Applicable",0)</f>
        <v>Not Applicable</v>
      </c>
      <c r="L19" s="2"/>
      <c r="M19" s="2"/>
      <c r="N19" s="2"/>
    </row>
    <row r="20" spans="1:14" ht="16.5" x14ac:dyDescent="0.25">
      <c r="A20" s="413"/>
      <c r="B20" s="413"/>
      <c r="C20" s="181"/>
      <c r="D20" s="181"/>
      <c r="L20" s="2"/>
      <c r="M20" s="2"/>
      <c r="N20" s="2"/>
    </row>
    <row r="21" spans="1:14" ht="16.5" x14ac:dyDescent="0.25">
      <c r="A21" s="413" t="s">
        <v>337</v>
      </c>
      <c r="B21" s="413"/>
      <c r="C21" s="184"/>
      <c r="D21" s="184"/>
      <c r="L21" s="2"/>
      <c r="M21" s="2">
        <v>0</v>
      </c>
      <c r="N21" s="2">
        <v>0</v>
      </c>
    </row>
    <row r="22" spans="1:14" ht="16.5" x14ac:dyDescent="0.25">
      <c r="A22" s="413" t="s">
        <v>277</v>
      </c>
      <c r="B22" s="413"/>
      <c r="C22" s="251" t="s">
        <v>41</v>
      </c>
      <c r="D22" s="251" t="s">
        <v>41</v>
      </c>
      <c r="L22" s="2"/>
      <c r="M22" s="2"/>
      <c r="N22" s="2"/>
    </row>
    <row r="23" spans="1:14" ht="46.5" customHeight="1" x14ac:dyDescent="0.25">
      <c r="A23" s="321" t="s">
        <v>347</v>
      </c>
      <c r="B23" s="321"/>
      <c r="C23" s="251" t="s">
        <v>41</v>
      </c>
      <c r="D23" s="251" t="s">
        <v>42</v>
      </c>
    </row>
    <row r="24" spans="1:14" ht="16.5" x14ac:dyDescent="0.25">
      <c r="A24" s="413" t="s">
        <v>339</v>
      </c>
      <c r="B24" s="413"/>
      <c r="C24" s="167">
        <f>+IF(C23=0,0,IF(C23="YES",(1500*7),IF(C23="No",0,0)))</f>
        <v>10500</v>
      </c>
      <c r="D24" s="167">
        <f>+IF(D23=0,0,IF(D23="YES",(1500*7),IF(D23="No",0,0)))</f>
        <v>0</v>
      </c>
    </row>
    <row r="25" spans="1:14" ht="16.5" x14ac:dyDescent="0.25">
      <c r="A25" s="413"/>
      <c r="B25" s="413"/>
      <c r="C25" s="184"/>
      <c r="D25" s="184"/>
    </row>
    <row r="26" spans="1:14" ht="59.25" customHeight="1" x14ac:dyDescent="0.25">
      <c r="A26" s="321" t="s">
        <v>349</v>
      </c>
      <c r="B26" s="321"/>
      <c r="C26" s="251" t="s">
        <v>41</v>
      </c>
      <c r="D26" s="251" t="s">
        <v>42</v>
      </c>
      <c r="L26" s="57">
        <f>1500*7</f>
        <v>10500</v>
      </c>
    </row>
    <row r="27" spans="1:14" ht="16.5" x14ac:dyDescent="0.25">
      <c r="A27" s="413" t="s">
        <v>365</v>
      </c>
      <c r="B27" s="413"/>
      <c r="C27" s="167">
        <f>+IF(C26=0,0,IF(C26="YES",(1500*7),IF(C26="No",0,0)))</f>
        <v>10500</v>
      </c>
      <c r="D27" s="167">
        <f>+IF(D26=0,0,IF(D26="YES",(1500*7),IF(D26="No",0,0)))</f>
        <v>0</v>
      </c>
    </row>
    <row r="28" spans="1:14" ht="16.5" x14ac:dyDescent="0.25">
      <c r="A28" s="413"/>
      <c r="B28" s="413"/>
      <c r="C28" s="184"/>
      <c r="D28" s="184"/>
    </row>
    <row r="29" spans="1:14" ht="33.75" customHeight="1" x14ac:dyDescent="0.25">
      <c r="A29" s="413"/>
      <c r="B29" s="413"/>
      <c r="C29" s="184"/>
      <c r="D29" s="184"/>
    </row>
    <row r="30" spans="1:14" ht="16.5" x14ac:dyDescent="0.25">
      <c r="A30" s="413"/>
      <c r="B30" s="413"/>
      <c r="C30" s="193"/>
      <c r="D30" s="193"/>
    </row>
    <row r="31" spans="1:14" ht="16.5" x14ac:dyDescent="0.25">
      <c r="A31" s="413" t="s">
        <v>286</v>
      </c>
      <c r="B31" s="413"/>
      <c r="C31" s="184"/>
      <c r="D31" s="184"/>
    </row>
    <row r="32" spans="1:14" ht="16.5" customHeight="1" x14ac:dyDescent="0.25">
      <c r="A32" s="321" t="s">
        <v>350</v>
      </c>
      <c r="B32" s="321"/>
      <c r="C32" s="251" t="s">
        <v>41</v>
      </c>
      <c r="D32" s="251" t="s">
        <v>42</v>
      </c>
    </row>
    <row r="33" spans="1:5" ht="16.5" x14ac:dyDescent="0.3">
      <c r="A33" s="419" t="s">
        <v>288</v>
      </c>
      <c r="B33" s="420"/>
      <c r="C33" s="194" t="str">
        <f>+IF(C32=0,0,IF(C32="YES","Boost of $20,000 to 100,000",IF(C32="No","NA",0)))</f>
        <v>Boost of $20,000 to 100,000</v>
      </c>
      <c r="D33" s="184">
        <f>+IF(D32=0,0,IF(D3="YES","Boost of $20,000 to 100,000",IF(D3="No","NA",0)))</f>
        <v>0</v>
      </c>
      <c r="E33" s="57" t="s">
        <v>289</v>
      </c>
    </row>
    <row r="34" spans="1:5" ht="16.5" x14ac:dyDescent="0.25">
      <c r="A34" s="421"/>
      <c r="B34" s="422"/>
      <c r="C34" s="184"/>
      <c r="D34" s="184"/>
    </row>
    <row r="35" spans="1:5" ht="51" customHeight="1" x14ac:dyDescent="0.25">
      <c r="A35" s="413" t="s">
        <v>287</v>
      </c>
      <c r="B35" s="413"/>
      <c r="C35" s="184"/>
      <c r="D35" s="184"/>
    </row>
    <row r="36" spans="1:5" ht="16.5" x14ac:dyDescent="0.25">
      <c r="A36" s="321" t="s">
        <v>350</v>
      </c>
      <c r="B36" s="321"/>
      <c r="C36" s="251" t="s">
        <v>41</v>
      </c>
      <c r="D36" s="251" t="s">
        <v>41</v>
      </c>
    </row>
    <row r="37" spans="1:5" ht="16.5" customHeight="1" x14ac:dyDescent="0.25">
      <c r="A37" s="321" t="s">
        <v>293</v>
      </c>
      <c r="B37" s="321"/>
      <c r="C37" s="251" t="s">
        <v>41</v>
      </c>
      <c r="D37" s="251" t="s">
        <v>41</v>
      </c>
    </row>
    <row r="38" spans="1:5" ht="16.5" customHeight="1" x14ac:dyDescent="0.3">
      <c r="A38" s="175" t="s">
        <v>290</v>
      </c>
      <c r="B38" s="175"/>
      <c r="C38" s="183">
        <v>75000</v>
      </c>
      <c r="D38" s="184">
        <v>25000</v>
      </c>
      <c r="E38" s="57" t="s">
        <v>334</v>
      </c>
    </row>
    <row r="39" spans="1:5" ht="16.5" x14ac:dyDescent="0.3">
      <c r="A39" s="321" t="s">
        <v>351</v>
      </c>
      <c r="B39" s="321"/>
      <c r="C39" s="183">
        <f>IF(C38&gt;50000,50000,C38)</f>
        <v>50000</v>
      </c>
      <c r="D39" s="184">
        <f>IF(D38&gt;50000,50000,D38)</f>
        <v>25000</v>
      </c>
    </row>
    <row r="40" spans="1:5" ht="16.5" x14ac:dyDescent="0.3">
      <c r="A40" s="175"/>
      <c r="B40" s="175"/>
      <c r="C40" s="183"/>
      <c r="D40" s="184"/>
    </row>
    <row r="41" spans="1:5" ht="16.5" x14ac:dyDescent="0.3">
      <c r="A41" s="175" t="s">
        <v>291</v>
      </c>
      <c r="B41" s="175"/>
      <c r="C41" s="183">
        <v>75000</v>
      </c>
      <c r="D41" s="184">
        <v>25000</v>
      </c>
      <c r="E41" s="57" t="s">
        <v>334</v>
      </c>
    </row>
    <row r="42" spans="1:5" ht="16.5" x14ac:dyDescent="0.3">
      <c r="A42" s="321" t="s">
        <v>351</v>
      </c>
      <c r="B42" s="321"/>
      <c r="C42" s="183">
        <f>IF(C41&gt;50000,50000,C41)</f>
        <v>50000</v>
      </c>
      <c r="D42" s="184">
        <f>IF(D41&gt;50000,50000,D41)</f>
        <v>25000</v>
      </c>
    </row>
    <row r="43" spans="1:5" ht="16.5" x14ac:dyDescent="0.25">
      <c r="A43" s="321"/>
      <c r="B43" s="321"/>
      <c r="C43" s="184"/>
      <c r="D43" s="184"/>
    </row>
    <row r="44" spans="1:5" ht="16.5" x14ac:dyDescent="0.25">
      <c r="A44" s="321" t="s">
        <v>292</v>
      </c>
      <c r="B44" s="321"/>
      <c r="C44" s="251" t="s">
        <v>41</v>
      </c>
      <c r="D44" s="251" t="s">
        <v>41</v>
      </c>
    </row>
    <row r="45" spans="1:5" ht="16.5" x14ac:dyDescent="0.25">
      <c r="A45" s="321" t="s">
        <v>362</v>
      </c>
      <c r="B45" s="321"/>
      <c r="C45" s="184">
        <v>75000</v>
      </c>
      <c r="D45" s="184">
        <v>25000</v>
      </c>
      <c r="E45" s="57" t="s">
        <v>334</v>
      </c>
    </row>
    <row r="46" spans="1:5" ht="16.5" x14ac:dyDescent="0.25">
      <c r="A46" s="321" t="s">
        <v>351</v>
      </c>
      <c r="B46" s="321"/>
      <c r="C46" s="184">
        <f>IF(C45&gt;50000,50000,C45)</f>
        <v>50000</v>
      </c>
      <c r="D46" s="184">
        <f>IF(D45&gt;50000,50000,D45)</f>
        <v>25000</v>
      </c>
    </row>
    <row r="47" spans="1:5" ht="16.5" x14ac:dyDescent="0.25">
      <c r="A47" s="175"/>
      <c r="B47" s="175"/>
      <c r="C47" s="184"/>
      <c r="D47" s="184"/>
    </row>
    <row r="48" spans="1:5" ht="16.5" x14ac:dyDescent="0.25">
      <c r="A48" s="201" t="s">
        <v>363</v>
      </c>
      <c r="B48" s="175"/>
      <c r="C48" s="184">
        <v>75000</v>
      </c>
      <c r="D48" s="184">
        <v>25000</v>
      </c>
      <c r="E48" s="57" t="s">
        <v>334</v>
      </c>
    </row>
    <row r="49" spans="1:4" ht="16.5" x14ac:dyDescent="0.25">
      <c r="A49" s="321" t="s">
        <v>351</v>
      </c>
      <c r="B49" s="321"/>
      <c r="C49" s="184">
        <f>IF(C48&gt;50000,50000,C48)</f>
        <v>50000</v>
      </c>
      <c r="D49" s="184">
        <f>IF(D48&gt;50000,50000,D48)</f>
        <v>25000</v>
      </c>
    </row>
    <row r="50" spans="1:4" ht="16.5" x14ac:dyDescent="0.25">
      <c r="A50" s="321"/>
      <c r="B50" s="321"/>
      <c r="C50" s="184"/>
      <c r="D50" s="184"/>
    </row>
    <row r="51" spans="1:4" ht="16.5" x14ac:dyDescent="0.25">
      <c r="A51" s="418" t="s">
        <v>299</v>
      </c>
      <c r="B51" s="418"/>
      <c r="C51" s="184"/>
      <c r="D51" s="184"/>
    </row>
    <row r="52" spans="1:4" ht="16.5" x14ac:dyDescent="0.25">
      <c r="A52" s="321" t="s">
        <v>300</v>
      </c>
      <c r="B52" s="321"/>
      <c r="C52" s="184"/>
      <c r="D52" s="184"/>
    </row>
    <row r="53" spans="1:4" ht="33" customHeight="1" x14ac:dyDescent="0.25">
      <c r="A53" s="321" t="s">
        <v>301</v>
      </c>
      <c r="B53" s="321"/>
      <c r="C53" s="184"/>
      <c r="D53" s="184"/>
    </row>
    <row r="54" spans="1:4" ht="77.25" customHeight="1" x14ac:dyDescent="0.25">
      <c r="A54" s="321" t="s">
        <v>302</v>
      </c>
      <c r="B54" s="321"/>
      <c r="C54" s="184"/>
      <c r="D54" s="184"/>
    </row>
    <row r="55" spans="1:4" ht="16.5" x14ac:dyDescent="0.25">
      <c r="A55" s="321" t="s">
        <v>352</v>
      </c>
      <c r="B55" s="321"/>
      <c r="C55" s="184"/>
      <c r="D55" s="184"/>
    </row>
    <row r="56" spans="1:4" ht="16.5" x14ac:dyDescent="0.25">
      <c r="A56" s="321"/>
      <c r="B56" s="321"/>
      <c r="C56" s="184"/>
      <c r="D56" s="184"/>
    </row>
    <row r="57" spans="1:4" ht="16.5" x14ac:dyDescent="0.25">
      <c r="A57" s="321"/>
      <c r="B57" s="321"/>
      <c r="C57" s="184"/>
      <c r="D57" s="184"/>
    </row>
    <row r="58" spans="1:4" ht="16.5" x14ac:dyDescent="0.25">
      <c r="A58" s="182" t="s">
        <v>303</v>
      </c>
      <c r="B58" s="180"/>
      <c r="C58" s="184"/>
      <c r="D58" s="184"/>
    </row>
    <row r="59" spans="1:4" ht="16.5" x14ac:dyDescent="0.25">
      <c r="A59" s="180" t="s">
        <v>304</v>
      </c>
      <c r="B59" s="180"/>
      <c r="C59" s="184" t="s">
        <v>305</v>
      </c>
      <c r="D59" s="184"/>
    </row>
    <row r="60" spans="1:4" ht="16.5" x14ac:dyDescent="0.25">
      <c r="A60" s="180" t="s">
        <v>307</v>
      </c>
      <c r="B60" s="180"/>
      <c r="C60" s="184">
        <v>6500000</v>
      </c>
      <c r="D60" s="184"/>
    </row>
    <row r="61" spans="1:4" ht="16.5" x14ac:dyDescent="0.25">
      <c r="A61" s="199" t="s">
        <v>353</v>
      </c>
      <c r="B61" s="180"/>
      <c r="C61" s="184">
        <v>5000</v>
      </c>
      <c r="D61" s="184"/>
    </row>
    <row r="62" spans="1:4" ht="16.5" x14ac:dyDescent="0.3">
      <c r="A62" s="199" t="s">
        <v>354</v>
      </c>
      <c r="B62" s="180"/>
      <c r="C62" s="183">
        <f>IF(C60&gt;6500000,"	3-months Payroll Tax Holiday and Refund of Payroll Tax for 2 months",C61)</f>
        <v>5000</v>
      </c>
      <c r="D62" s="184"/>
    </row>
    <row r="63" spans="1:4" ht="16.5" x14ac:dyDescent="0.25">
      <c r="A63" s="180"/>
      <c r="B63" s="180"/>
      <c r="C63" s="184"/>
      <c r="D63" s="184"/>
    </row>
    <row r="64" spans="1:4" ht="49.5" x14ac:dyDescent="0.3">
      <c r="A64" s="180" t="s">
        <v>306</v>
      </c>
      <c r="B64" s="180"/>
      <c r="C64" s="194" t="str">
        <f>IF(C60&lt;6500000,"Option to apply for deferral of payment for 2020 calendar year","Option to apply for deferral of payment for 2020 calendar year")</f>
        <v>Option to apply for deferral of payment for 2020 calendar year</v>
      </c>
      <c r="D64" s="184"/>
    </row>
    <row r="65" spans="1:4" ht="16.5" x14ac:dyDescent="0.25">
      <c r="A65" s="321"/>
      <c r="B65" s="321"/>
      <c r="C65" s="184"/>
      <c r="D65" s="184"/>
    </row>
    <row r="66" spans="1:4" ht="16.5" x14ac:dyDescent="0.25">
      <c r="A66" s="180" t="s">
        <v>304</v>
      </c>
      <c r="B66" s="180"/>
      <c r="C66" s="184" t="s">
        <v>335</v>
      </c>
      <c r="D66" s="184"/>
    </row>
    <row r="67" spans="1:4" ht="16.5" x14ac:dyDescent="0.25">
      <c r="A67" s="180" t="s">
        <v>307</v>
      </c>
      <c r="B67" s="180"/>
      <c r="C67" s="184">
        <v>10000000</v>
      </c>
      <c r="D67" s="184"/>
    </row>
    <row r="68" spans="1:4" ht="82.5" x14ac:dyDescent="0.3">
      <c r="A68" s="180" t="s">
        <v>308</v>
      </c>
      <c r="B68" s="180"/>
      <c r="C68" s="194" t="str">
        <f>IF(C64&lt;10000000,"3-months Payroll Tax Holiday and Refund of Payroll Tax for 2 months and Reduction in Annual Taxliability","3-months Payroll Tax Holiday and Refund of Payroll Tax for 2 months and Reduction in Annual Taxliability")</f>
        <v>3-months Payroll Tax Holiday and Refund of Payroll Tax for 2 months and Reduction in Annual Taxliability</v>
      </c>
      <c r="D68" s="183"/>
    </row>
    <row r="69" spans="1:4" ht="16.5" x14ac:dyDescent="0.3">
      <c r="A69" s="180"/>
      <c r="B69" s="180"/>
      <c r="C69" s="183"/>
      <c r="D69" s="183"/>
    </row>
    <row r="70" spans="1:4" ht="16.5" x14ac:dyDescent="0.3">
      <c r="A70" s="180" t="s">
        <v>304</v>
      </c>
      <c r="B70" s="180"/>
      <c r="C70" s="184" t="s">
        <v>309</v>
      </c>
      <c r="D70" s="183"/>
    </row>
    <row r="71" spans="1:4" ht="16.5" x14ac:dyDescent="0.3">
      <c r="A71" s="180" t="s">
        <v>307</v>
      </c>
      <c r="B71" s="180"/>
      <c r="C71" s="184">
        <v>4000000</v>
      </c>
      <c r="D71" s="183"/>
    </row>
    <row r="72" spans="1:4" ht="16.5" x14ac:dyDescent="0.3">
      <c r="A72" s="180" t="s">
        <v>310</v>
      </c>
      <c r="B72" s="180"/>
      <c r="C72" s="183">
        <v>17500</v>
      </c>
      <c r="D72" s="183"/>
    </row>
    <row r="73" spans="1:4" ht="16.5" x14ac:dyDescent="0.3">
      <c r="A73" s="199" t="s">
        <v>354</v>
      </c>
      <c r="B73" s="180"/>
      <c r="C73" s="183">
        <f>IF(C71&lt;4000000,17500,C72)</f>
        <v>17500</v>
      </c>
      <c r="D73" s="183"/>
    </row>
    <row r="74" spans="1:4" ht="16.5" x14ac:dyDescent="0.3">
      <c r="A74" s="180"/>
      <c r="B74" s="180"/>
      <c r="C74" s="183"/>
      <c r="D74" s="183"/>
    </row>
    <row r="75" spans="1:4" ht="16.5" x14ac:dyDescent="0.3">
      <c r="A75" s="180" t="s">
        <v>307</v>
      </c>
      <c r="B75" s="180"/>
      <c r="C75" s="184">
        <v>7500000</v>
      </c>
      <c r="D75" s="183"/>
    </row>
    <row r="76" spans="1:4" ht="49.5" x14ac:dyDescent="0.3">
      <c r="A76" s="180" t="s">
        <v>311</v>
      </c>
      <c r="B76" s="180"/>
      <c r="C76" s="194" t="str">
        <f>IF(C75&gt;7500000,"Option to apply for deferral of payment for 2020 calendar year","Option to apply for deferral of payment for 2020 calendar year")</f>
        <v>Option to apply for deferral of payment for 2020 calendar year</v>
      </c>
      <c r="D76" s="183"/>
    </row>
    <row r="77" spans="1:4" ht="16.5" x14ac:dyDescent="0.3">
      <c r="A77" s="180"/>
      <c r="B77" s="180"/>
      <c r="C77" s="183"/>
      <c r="D77" s="183"/>
    </row>
    <row r="78" spans="1:4" ht="16.5" x14ac:dyDescent="0.3">
      <c r="A78" s="180" t="s">
        <v>304</v>
      </c>
      <c r="B78" s="180"/>
      <c r="C78" s="184" t="s">
        <v>312</v>
      </c>
      <c r="D78" s="183"/>
    </row>
    <row r="79" spans="1:4" ht="16.5" x14ac:dyDescent="0.3">
      <c r="A79" s="180" t="s">
        <v>307</v>
      </c>
      <c r="B79" s="180"/>
      <c r="C79" s="184">
        <v>5000000</v>
      </c>
      <c r="D79" s="183"/>
    </row>
    <row r="80" spans="1:4" ht="49.5" x14ac:dyDescent="0.3">
      <c r="A80" s="199" t="s">
        <v>355</v>
      </c>
      <c r="B80" s="180"/>
      <c r="C80" s="194" t="str">
        <f>IF(C79&gt;5000000,"Option to apply for deferral of payment for 2020 calendar year","Option to apply for deferral of payment for 2020 calendar year")</f>
        <v>Option to apply for deferral of payment for 2020 calendar year</v>
      </c>
      <c r="D80" s="183"/>
    </row>
    <row r="81" spans="1:4" ht="16.5" x14ac:dyDescent="0.3">
      <c r="A81" s="182" t="s">
        <v>313</v>
      </c>
      <c r="B81" s="180"/>
      <c r="C81" s="183" t="s">
        <v>274</v>
      </c>
      <c r="D81" s="183"/>
    </row>
    <row r="82" spans="1:4" ht="49.5" x14ac:dyDescent="0.3">
      <c r="A82" s="199" t="s">
        <v>356</v>
      </c>
      <c r="B82" s="180"/>
      <c r="C82" s="194" t="str">
        <f>+IF(C81=0,0,IF(C81="YES","Payroll Tax waiver for the months from March 2020 to June 2020",IF(C81="No","NA",0)))</f>
        <v>Payroll Tax waiver for the months from March 2020 to June 2020</v>
      </c>
      <c r="D82" s="183"/>
    </row>
    <row r="83" spans="1:4" ht="16.5" x14ac:dyDescent="0.3">
      <c r="A83" s="180"/>
      <c r="B83" s="180"/>
      <c r="C83" s="183"/>
      <c r="D83" s="183"/>
    </row>
    <row r="84" spans="1:4" ht="16.5" x14ac:dyDescent="0.3">
      <c r="A84" s="180" t="s">
        <v>314</v>
      </c>
      <c r="B84" s="180"/>
      <c r="C84" s="184"/>
      <c r="D84" s="183"/>
    </row>
    <row r="85" spans="1:4" ht="16.5" x14ac:dyDescent="0.3">
      <c r="A85" s="180" t="s">
        <v>315</v>
      </c>
      <c r="B85" s="180"/>
      <c r="C85" s="183" t="s">
        <v>316</v>
      </c>
      <c r="D85" s="183"/>
    </row>
    <row r="86" spans="1:4" ht="16.5" x14ac:dyDescent="0.3">
      <c r="A86" s="180"/>
      <c r="B86" s="180"/>
      <c r="C86" s="183"/>
      <c r="D86" s="183"/>
    </row>
    <row r="87" spans="1:4" ht="16.5" x14ac:dyDescent="0.3">
      <c r="A87" s="180" t="s">
        <v>304</v>
      </c>
      <c r="B87" s="180"/>
      <c r="C87" s="184" t="s">
        <v>317</v>
      </c>
      <c r="D87" s="183"/>
    </row>
    <row r="88" spans="1:4" ht="16.5" x14ac:dyDescent="0.3">
      <c r="A88" s="180" t="s">
        <v>307</v>
      </c>
      <c r="B88" s="180"/>
      <c r="C88" s="184">
        <v>3000000</v>
      </c>
      <c r="D88" s="183"/>
    </row>
    <row r="89" spans="1:4" ht="99" x14ac:dyDescent="0.3">
      <c r="A89" s="199" t="s">
        <v>355</v>
      </c>
      <c r="B89" s="180"/>
      <c r="C89" s="194" t="str">
        <f>IF(C88&lt;3000000,"100% Refund of Payroll tax paid for the 2019-20 and Deferral of Payroll Tax payment for the first 3 months of the FY2020-21 until 1st January 2021","100% Refund of Payroll tax paid for the 2019-20 and Deferral of Payroll Tax payment for the first 3 months of the FY2020-21 until 1st January 2021")</f>
        <v>100% Refund of Payroll tax paid for the 2019-20 and Deferral of Payroll Tax payment for the first 3 months of the FY2020-21 until 1st January 2021</v>
      </c>
      <c r="D89" s="183"/>
    </row>
    <row r="90" spans="1:4" ht="16.5" x14ac:dyDescent="0.3">
      <c r="A90" s="180"/>
      <c r="B90" s="180"/>
      <c r="C90" s="183"/>
      <c r="D90" s="183"/>
    </row>
    <row r="91" spans="1:4" ht="16.5" x14ac:dyDescent="0.3">
      <c r="A91" s="180" t="s">
        <v>304</v>
      </c>
      <c r="B91" s="180"/>
      <c r="C91" s="184" t="s">
        <v>318</v>
      </c>
      <c r="D91" s="183"/>
    </row>
    <row r="92" spans="1:4" ht="33" x14ac:dyDescent="0.3">
      <c r="A92" s="180" t="s">
        <v>319</v>
      </c>
      <c r="B92" s="180"/>
      <c r="C92" s="184" t="s">
        <v>41</v>
      </c>
      <c r="D92" s="183"/>
    </row>
    <row r="93" spans="1:4" ht="16.5" x14ac:dyDescent="0.3">
      <c r="A93" s="180"/>
      <c r="B93" s="180"/>
      <c r="C93" s="184"/>
      <c r="D93" s="183"/>
    </row>
    <row r="94" spans="1:4" ht="49.5" x14ac:dyDescent="0.3">
      <c r="A94" s="180" t="s">
        <v>319</v>
      </c>
      <c r="B94" s="180"/>
      <c r="C94" s="194" t="str">
        <f>IF(C92="Yes","6 Months Waiver of Payroll Tax Commencing from April 2020","6 Months Waiver of Payroll Tax Commencing from April 2020")</f>
        <v>6 Months Waiver of Payroll Tax Commencing from April 2020</v>
      </c>
      <c r="D94" s="183"/>
    </row>
    <row r="95" spans="1:4" ht="49.5" x14ac:dyDescent="0.3">
      <c r="A95" s="180" t="s">
        <v>320</v>
      </c>
      <c r="B95" s="180"/>
      <c r="C95" s="194" t="str">
        <f>IF(C94="Australian Capital Territory","Interest free deferrals of Payroll Tax for the FY2020-21 until 1st July 2022","Interest free deferrals of Payroll Tax for the FY2020-21 until 1st July 2022")</f>
        <v>Interest free deferrals of Payroll Tax for the FY2020-21 until 1st July 2022</v>
      </c>
      <c r="D95" s="183"/>
    </row>
    <row r="96" spans="1:4" ht="16.5" x14ac:dyDescent="0.3">
      <c r="A96" s="180"/>
      <c r="B96" s="180"/>
      <c r="C96" s="183"/>
      <c r="D96" s="183"/>
    </row>
    <row r="97" spans="1:4" ht="16.5" x14ac:dyDescent="0.3">
      <c r="A97" s="180" t="s">
        <v>304</v>
      </c>
      <c r="B97" s="180"/>
      <c r="C97" s="184" t="s">
        <v>321</v>
      </c>
      <c r="D97" s="183"/>
    </row>
    <row r="98" spans="1:4" ht="16.5" x14ac:dyDescent="0.3">
      <c r="A98" s="180" t="s">
        <v>322</v>
      </c>
      <c r="B98" s="180"/>
      <c r="C98" s="184">
        <v>4000000</v>
      </c>
      <c r="D98" s="183"/>
    </row>
    <row r="99" spans="1:4" ht="33" x14ac:dyDescent="0.3">
      <c r="A99" s="180"/>
      <c r="B99" s="180"/>
      <c r="C99" s="194" t="str">
        <f>IF(C97&lt;40000000,"6 Months Waiver of Payroll Tax","6 Months Waiver of Payroll Tax")</f>
        <v>6 Months Waiver of Payroll Tax</v>
      </c>
      <c r="D99" s="183"/>
    </row>
    <row r="100" spans="1:4" ht="16.5" x14ac:dyDescent="0.3">
      <c r="A100" s="180" t="s">
        <v>323</v>
      </c>
      <c r="B100" s="180"/>
      <c r="C100" s="194">
        <v>4000000</v>
      </c>
      <c r="D100" s="183"/>
    </row>
    <row r="101" spans="1:4" ht="49.5" x14ac:dyDescent="0.3">
      <c r="A101" s="180" t="s">
        <v>324</v>
      </c>
      <c r="B101" s="180"/>
      <c r="C101" s="194" t="str">
        <f>IF(C100&gt;40000000,"option to apply 6 Months deferal of Payroll tax payment","option to apply 6 Months deferal of Payroll tax payment")</f>
        <v>option to apply 6 Months deferal of Payroll tax payment</v>
      </c>
      <c r="D101" s="183"/>
    </row>
    <row r="102" spans="1:4" ht="16.5" x14ac:dyDescent="0.3">
      <c r="A102" s="180"/>
      <c r="B102" s="180"/>
      <c r="C102" s="183"/>
      <c r="D102" s="183"/>
    </row>
    <row r="103" spans="1:4" ht="16.5" x14ac:dyDescent="0.3">
      <c r="A103" s="180"/>
      <c r="B103" s="180"/>
      <c r="C103" s="183"/>
      <c r="D103" s="183"/>
    </row>
    <row r="104" spans="1:4" ht="16.5" x14ac:dyDescent="0.3">
      <c r="A104" s="180"/>
      <c r="B104" s="180"/>
      <c r="C104" s="183"/>
      <c r="D104" s="183"/>
    </row>
    <row r="105" spans="1:4" ht="16.5" x14ac:dyDescent="0.3">
      <c r="A105" s="180"/>
      <c r="B105" s="180"/>
      <c r="C105" s="183"/>
      <c r="D105" s="183"/>
    </row>
    <row r="106" spans="1:4" ht="16.5" x14ac:dyDescent="0.3">
      <c r="A106" s="180"/>
      <c r="B106" s="180"/>
      <c r="C106" s="183"/>
      <c r="D106" s="183"/>
    </row>
    <row r="107" spans="1:4" ht="16.5" x14ac:dyDescent="0.3">
      <c r="A107" s="180"/>
      <c r="B107" s="180"/>
      <c r="C107" s="183"/>
      <c r="D107" s="183"/>
    </row>
    <row r="108" spans="1:4" ht="16.5" x14ac:dyDescent="0.3">
      <c r="A108" s="180"/>
      <c r="B108" s="180"/>
      <c r="C108" s="183"/>
      <c r="D108" s="183"/>
    </row>
    <row r="109" spans="1:4" ht="16.5" x14ac:dyDescent="0.3">
      <c r="A109" s="180"/>
      <c r="B109" s="180"/>
      <c r="C109" s="183"/>
      <c r="D109" s="183"/>
    </row>
    <row r="110" spans="1:4" ht="16.5" x14ac:dyDescent="0.3">
      <c r="A110" s="180"/>
      <c r="B110" s="180"/>
      <c r="C110" s="183"/>
      <c r="D110" s="183"/>
    </row>
  </sheetData>
  <mergeCells count="52">
    <mergeCell ref="A49:B49"/>
    <mergeCell ref="A39:B39"/>
    <mergeCell ref="A42:B42"/>
    <mergeCell ref="A43:B43"/>
    <mergeCell ref="A44:B44"/>
    <mergeCell ref="A29:B29"/>
    <mergeCell ref="A31:B31"/>
    <mergeCell ref="A35:B35"/>
    <mergeCell ref="A36:B36"/>
    <mergeCell ref="A46:B46"/>
    <mergeCell ref="A32:B32"/>
    <mergeCell ref="A33:B33"/>
    <mergeCell ref="A34:B34"/>
    <mergeCell ref="A37:B37"/>
    <mergeCell ref="A45:B45"/>
    <mergeCell ref="A25:B25"/>
    <mergeCell ref="A26:B26"/>
    <mergeCell ref="A27:B27"/>
    <mergeCell ref="A28:B28"/>
    <mergeCell ref="A24:B24"/>
    <mergeCell ref="A3:B3"/>
    <mergeCell ref="A4:B4"/>
    <mergeCell ref="A15:B15"/>
    <mergeCell ref="A16:B16"/>
    <mergeCell ref="A19:B19"/>
    <mergeCell ref="A7:B7"/>
    <mergeCell ref="A9:B9"/>
    <mergeCell ref="A10:B10"/>
    <mergeCell ref="A12:B12"/>
    <mergeCell ref="A18:B18"/>
    <mergeCell ref="A5:B5"/>
    <mergeCell ref="A6:B6"/>
    <mergeCell ref="A8:B8"/>
    <mergeCell ref="A11:B11"/>
    <mergeCell ref="A13:B13"/>
    <mergeCell ref="A14:B14"/>
    <mergeCell ref="A1:D1"/>
    <mergeCell ref="A17:B17"/>
    <mergeCell ref="A20:B20"/>
    <mergeCell ref="A30:B30"/>
    <mergeCell ref="A65:B65"/>
    <mergeCell ref="A55:B55"/>
    <mergeCell ref="A56:B56"/>
    <mergeCell ref="A57:B57"/>
    <mergeCell ref="A50:B50"/>
    <mergeCell ref="A51:B51"/>
    <mergeCell ref="A52:B52"/>
    <mergeCell ref="A53:B53"/>
    <mergeCell ref="A54:B54"/>
    <mergeCell ref="A21:B21"/>
    <mergeCell ref="A22:B22"/>
    <mergeCell ref="A23:B23"/>
  </mergeCells>
  <dataValidations count="2">
    <dataValidation type="list" errorStyle="warning" operator="greaterThanOrEqual" allowBlank="1" showInputMessage="1" showErrorMessage="1" promptTitle="Tax Planning Adjustments" prompt="Enter a positive number (increased taxable income) or negative number (decreased taxable income) as required." sqref="C3:D3 C18 C38:D38 C41:D41 C29:D29 C48:D48 C45:D45" xr:uid="{00000000-0002-0000-0900-000000000000}">
      <formula1>$K$48:$K$49</formula1>
    </dataValidation>
    <dataValidation type="list" allowBlank="1" showInputMessage="1" showErrorMessage="1" sqref="C5:D5 C10:D10 C22:D23 C26:D26 C32:D32 C36:D37 C44:D44" xr:uid="{00000000-0002-0000-0900-000001000000}">
      <formula1>$L$4:$L$5</formula1>
    </dataValidation>
  </dataValidation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0"/>
  <sheetViews>
    <sheetView zoomScale="91" zoomScaleNormal="91" workbookViewId="0">
      <selection activeCell="A2" sqref="A2"/>
    </sheetView>
  </sheetViews>
  <sheetFormatPr defaultRowHeight="15" x14ac:dyDescent="0.25"/>
  <cols>
    <col min="1" max="1" width="34.7109375" bestFit="1" customWidth="1"/>
    <col min="3" max="3" width="16.42578125" bestFit="1" customWidth="1"/>
    <col min="4" max="4" width="15.5703125" bestFit="1" customWidth="1"/>
  </cols>
  <sheetData>
    <row r="1" spans="1:12" ht="18.75" x14ac:dyDescent="0.3">
      <c r="A1" s="417" t="s">
        <v>460</v>
      </c>
      <c r="B1" s="417"/>
      <c r="C1" s="417"/>
      <c r="D1" s="417"/>
    </row>
    <row r="2" spans="1:12" x14ac:dyDescent="0.25">
      <c r="A2" s="57"/>
      <c r="B2" s="57"/>
      <c r="C2" s="192" t="s">
        <v>281</v>
      </c>
      <c r="D2" s="192" t="s">
        <v>282</v>
      </c>
    </row>
    <row r="3" spans="1:12" ht="16.5" x14ac:dyDescent="0.25">
      <c r="A3" s="413" t="s">
        <v>285</v>
      </c>
      <c r="B3" s="413"/>
      <c r="C3" s="63"/>
      <c r="D3" s="63"/>
    </row>
    <row r="4" spans="1:12" ht="16.5" x14ac:dyDescent="0.25">
      <c r="A4" s="413"/>
      <c r="B4" s="413"/>
      <c r="C4" s="203"/>
      <c r="D4" s="203"/>
      <c r="K4" t="s">
        <v>368</v>
      </c>
      <c r="L4" s="209" t="s">
        <v>367</v>
      </c>
    </row>
    <row r="5" spans="1:12" ht="16.5" x14ac:dyDescent="0.25">
      <c r="A5" s="413" t="s">
        <v>453</v>
      </c>
      <c r="B5" s="413"/>
      <c r="C5" s="202" t="s">
        <v>274</v>
      </c>
      <c r="D5" s="202" t="s">
        <v>42</v>
      </c>
    </row>
    <row r="6" spans="1:12" ht="16.5" x14ac:dyDescent="0.25">
      <c r="A6" s="419" t="s">
        <v>451</v>
      </c>
      <c r="B6" s="420"/>
      <c r="C6" s="202" t="str">
        <f>+IF(C5=0,0,IF(C5="YES","Upto $50,000",IF(C5="No",0,0)))</f>
        <v>Upto $50,000</v>
      </c>
      <c r="D6" s="202">
        <f>+IF(D5=0,0,IF(D5="YES","Upto 50000",IF(D5="No",0,0)))</f>
        <v>0</v>
      </c>
      <c r="E6" t="s">
        <v>366</v>
      </c>
    </row>
    <row r="7" spans="1:12" ht="16.5" x14ac:dyDescent="0.25">
      <c r="A7" s="321"/>
      <c r="B7" s="321"/>
      <c r="C7" s="202"/>
      <c r="D7" s="202"/>
    </row>
    <row r="8" spans="1:12" ht="16.5" x14ac:dyDescent="0.25">
      <c r="A8" s="413"/>
      <c r="B8" s="413"/>
      <c r="C8" s="193"/>
      <c r="D8" s="193"/>
    </row>
    <row r="9" spans="1:12" ht="16.5" x14ac:dyDescent="0.25">
      <c r="A9" s="413" t="s">
        <v>286</v>
      </c>
      <c r="B9" s="413"/>
      <c r="C9" s="184"/>
      <c r="D9" s="184"/>
    </row>
    <row r="10" spans="1:12" ht="16.5" customHeight="1" x14ac:dyDescent="0.25">
      <c r="A10" s="413" t="s">
        <v>450</v>
      </c>
      <c r="B10" s="413"/>
      <c r="C10" s="202" t="s">
        <v>274</v>
      </c>
      <c r="D10" s="202" t="s">
        <v>42</v>
      </c>
    </row>
    <row r="11" spans="1:12" ht="33" x14ac:dyDescent="0.3">
      <c r="A11" s="423" t="s">
        <v>288</v>
      </c>
      <c r="B11" s="424"/>
      <c r="C11" s="286" t="str">
        <f>+IF(C10=0,0,IF(C10="YES","Loan upto $500,000",IF(C10="No","NA",0)))</f>
        <v>Loan upto $500,000</v>
      </c>
      <c r="D11" s="184">
        <f>+IF(D10=0,0,IF(D3="YES","Boost of $20,000 to 100,000",IF(D3="No","NA",0)))</f>
        <v>0</v>
      </c>
    </row>
    <row r="12" spans="1:12" ht="16.5" x14ac:dyDescent="0.25">
      <c r="A12" s="421"/>
      <c r="B12" s="422"/>
      <c r="C12" s="184"/>
      <c r="D12" s="184"/>
    </row>
    <row r="13" spans="1:12" ht="16.5" x14ac:dyDescent="0.25">
      <c r="A13" s="321"/>
      <c r="B13" s="321"/>
      <c r="C13" s="184"/>
      <c r="D13" s="184"/>
    </row>
    <row r="14" spans="1:12" ht="16.5" x14ac:dyDescent="0.25">
      <c r="A14" s="418" t="s">
        <v>299</v>
      </c>
      <c r="B14" s="418"/>
      <c r="C14" s="184"/>
      <c r="D14" s="184"/>
    </row>
    <row r="15" spans="1:12" s="57" customFormat="1" ht="33" customHeight="1" x14ac:dyDescent="0.25">
      <c r="A15" s="401" t="s">
        <v>369</v>
      </c>
      <c r="B15" s="402"/>
      <c r="C15" s="184"/>
      <c r="D15" s="184"/>
    </row>
    <row r="16" spans="1:12" ht="53.25" customHeight="1" x14ac:dyDescent="0.25">
      <c r="A16" s="321" t="s">
        <v>370</v>
      </c>
      <c r="B16" s="321"/>
      <c r="C16" s="184"/>
      <c r="D16" s="184"/>
    </row>
    <row r="17" spans="1:4" ht="99" customHeight="1" x14ac:dyDescent="0.25">
      <c r="A17" s="321" t="s">
        <v>371</v>
      </c>
      <c r="B17" s="321"/>
      <c r="C17" s="184"/>
      <c r="D17" s="184"/>
    </row>
    <row r="18" spans="1:4" ht="16.5" x14ac:dyDescent="0.25">
      <c r="A18" s="321"/>
      <c r="B18" s="321"/>
      <c r="C18" s="184"/>
      <c r="D18" s="184"/>
    </row>
    <row r="19" spans="1:4" ht="16.5" x14ac:dyDescent="0.25">
      <c r="A19" s="321"/>
      <c r="B19" s="321"/>
      <c r="C19" s="184"/>
      <c r="D19" s="184"/>
    </row>
    <row r="20" spans="1:4" ht="16.5" x14ac:dyDescent="0.25">
      <c r="A20" s="321"/>
      <c r="B20" s="321"/>
      <c r="C20" s="184"/>
      <c r="D20" s="184"/>
    </row>
  </sheetData>
  <mergeCells count="19">
    <mergeCell ref="A20:B20"/>
    <mergeCell ref="A7:B7"/>
    <mergeCell ref="A13:B13"/>
    <mergeCell ref="A14:B14"/>
    <mergeCell ref="A16:B16"/>
    <mergeCell ref="A17:B17"/>
    <mergeCell ref="A18:B18"/>
    <mergeCell ref="A19:B19"/>
    <mergeCell ref="A11:B11"/>
    <mergeCell ref="A12:B12"/>
    <mergeCell ref="A8:B8"/>
    <mergeCell ref="A9:B9"/>
    <mergeCell ref="A10:B10"/>
    <mergeCell ref="A15:B15"/>
    <mergeCell ref="A1:D1"/>
    <mergeCell ref="A3:B3"/>
    <mergeCell ref="A4:B4"/>
    <mergeCell ref="A5:B5"/>
    <mergeCell ref="A6:B6"/>
  </mergeCells>
  <dataValidations disablePrompts="1" count="1">
    <dataValidation type="list" errorStyle="warning" operator="greaterThanOrEqual" allowBlank="1" showInputMessage="1" showErrorMessage="1" promptTitle="Tax Planning Adjustments" prompt="Enter a positive number (increased taxable income) or negative number (decreased taxable income) as required." sqref="C3:D3" xr:uid="{00000000-0002-0000-0A00-000000000000}">
      <formula1>#REF!</formula1>
    </dataValidation>
  </dataValidations>
  <hyperlinks>
    <hyperlink ref="L4" r:id="rId1" xr:uid="{00000000-0004-0000-0A00-000000000000}"/>
  </hyperlinks>
  <pageMargins left="0.7" right="0.7" top="0.75" bottom="0.75" header="0.3" footer="0.3"/>
  <pageSetup orientation="portrait"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5"/>
  <sheetViews>
    <sheetView workbookViewId="0">
      <selection sqref="A1:F1"/>
    </sheetView>
  </sheetViews>
  <sheetFormatPr defaultRowHeight="15" x14ac:dyDescent="0.25"/>
  <cols>
    <col min="1" max="1" width="10.7109375" bestFit="1" customWidth="1"/>
    <col min="2" max="2" width="11.28515625" customWidth="1"/>
    <col min="3" max="3" width="17.5703125" customWidth="1"/>
    <col min="4" max="4" width="19.7109375" customWidth="1"/>
    <col min="5" max="5" width="16.85546875" style="64" customWidth="1"/>
    <col min="6" max="6" width="19" style="64" customWidth="1"/>
  </cols>
  <sheetData>
    <row r="1" spans="1:6" s="57" customFormat="1" ht="18" customHeight="1" thickBot="1" x14ac:dyDescent="0.3">
      <c r="A1" s="425" t="s">
        <v>163</v>
      </c>
      <c r="B1" s="426"/>
      <c r="C1" s="426"/>
      <c r="D1" s="426"/>
      <c r="E1" s="426"/>
      <c r="F1" s="427"/>
    </row>
    <row r="2" spans="1:6" s="57" customFormat="1" ht="15.75" thickBot="1" x14ac:dyDescent="0.3">
      <c r="E2" s="64"/>
      <c r="F2" s="64"/>
    </row>
    <row r="3" spans="1:6" ht="15.75" thickBot="1" x14ac:dyDescent="0.3">
      <c r="A3" s="65" t="s">
        <v>13</v>
      </c>
      <c r="B3" s="65" t="s">
        <v>67</v>
      </c>
      <c r="C3" s="65" t="s">
        <v>161</v>
      </c>
      <c r="D3" s="65" t="s">
        <v>12</v>
      </c>
      <c r="E3" s="74" t="s">
        <v>60</v>
      </c>
      <c r="F3" s="77" t="s">
        <v>162</v>
      </c>
    </row>
    <row r="4" spans="1:6" x14ac:dyDescent="0.25">
      <c r="A4" s="66">
        <v>42923</v>
      </c>
      <c r="B4" s="67" t="s">
        <v>68</v>
      </c>
      <c r="C4" s="67" t="s">
        <v>69</v>
      </c>
      <c r="D4" s="67" t="s">
        <v>70</v>
      </c>
      <c r="E4" s="75">
        <v>1330</v>
      </c>
      <c r="F4" s="78">
        <v>297</v>
      </c>
    </row>
    <row r="5" spans="1:6" x14ac:dyDescent="0.25">
      <c r="A5" s="66">
        <v>42930</v>
      </c>
      <c r="B5" s="67" t="s">
        <v>71</v>
      </c>
      <c r="C5" s="67" t="s">
        <v>72</v>
      </c>
      <c r="D5" s="67" t="s">
        <v>70</v>
      </c>
      <c r="E5" s="75">
        <v>1330</v>
      </c>
      <c r="F5" s="75">
        <v>297</v>
      </c>
    </row>
    <row r="6" spans="1:6" x14ac:dyDescent="0.25">
      <c r="A6" s="66">
        <v>42937</v>
      </c>
      <c r="B6" s="67" t="s">
        <v>73</v>
      </c>
      <c r="C6" s="67" t="s">
        <v>74</v>
      </c>
      <c r="D6" s="67" t="s">
        <v>70</v>
      </c>
      <c r="E6" s="75">
        <v>1330</v>
      </c>
      <c r="F6" s="75">
        <v>297</v>
      </c>
    </row>
    <row r="7" spans="1:6" x14ac:dyDescent="0.25">
      <c r="A7" s="66">
        <v>42944</v>
      </c>
      <c r="B7" s="67" t="s">
        <v>75</v>
      </c>
      <c r="C7" s="67" t="s">
        <v>76</v>
      </c>
      <c r="D7" s="67" t="s">
        <v>70</v>
      </c>
      <c r="E7" s="75">
        <v>1330</v>
      </c>
      <c r="F7" s="75">
        <v>297</v>
      </c>
    </row>
    <row r="8" spans="1:6" x14ac:dyDescent="0.25">
      <c r="A8" s="66">
        <v>42951</v>
      </c>
      <c r="B8" s="67" t="s">
        <v>77</v>
      </c>
      <c r="C8" s="67" t="s">
        <v>78</v>
      </c>
      <c r="D8" s="67" t="s">
        <v>70</v>
      </c>
      <c r="E8" s="75">
        <v>1330</v>
      </c>
      <c r="F8" s="75">
        <v>297</v>
      </c>
    </row>
    <row r="9" spans="1:6" x14ac:dyDescent="0.25">
      <c r="A9" s="66">
        <v>42958</v>
      </c>
      <c r="B9" s="67" t="s">
        <v>79</v>
      </c>
      <c r="C9" s="67" t="s">
        <v>80</v>
      </c>
      <c r="D9" s="67" t="s">
        <v>70</v>
      </c>
      <c r="E9" s="75">
        <v>1330</v>
      </c>
      <c r="F9" s="75">
        <v>297</v>
      </c>
    </row>
    <row r="10" spans="1:6" x14ac:dyDescent="0.25">
      <c r="A10" s="66">
        <v>42965</v>
      </c>
      <c r="B10" s="67" t="s">
        <v>81</v>
      </c>
      <c r="C10" s="67" t="s">
        <v>82</v>
      </c>
      <c r="D10" s="67" t="s">
        <v>70</v>
      </c>
      <c r="E10" s="75">
        <v>1330</v>
      </c>
      <c r="F10" s="75">
        <v>297</v>
      </c>
    </row>
    <row r="11" spans="1:6" x14ac:dyDescent="0.25">
      <c r="A11" s="66">
        <v>42972</v>
      </c>
      <c r="B11" s="67" t="s">
        <v>83</v>
      </c>
      <c r="C11" s="67" t="s">
        <v>84</v>
      </c>
      <c r="D11" s="67" t="s">
        <v>70</v>
      </c>
      <c r="E11" s="75">
        <v>1330</v>
      </c>
      <c r="F11" s="75">
        <v>297</v>
      </c>
    </row>
    <row r="12" spans="1:6" x14ac:dyDescent="0.25">
      <c r="A12" s="66">
        <v>42979</v>
      </c>
      <c r="B12" s="67" t="s">
        <v>85</v>
      </c>
      <c r="C12" s="67" t="s">
        <v>86</v>
      </c>
      <c r="D12" s="67" t="s">
        <v>70</v>
      </c>
      <c r="E12" s="75">
        <v>1330</v>
      </c>
      <c r="F12" s="75">
        <v>297</v>
      </c>
    </row>
    <row r="13" spans="1:6" x14ac:dyDescent="0.25">
      <c r="A13" s="66">
        <v>42986</v>
      </c>
      <c r="B13" s="67" t="s">
        <v>87</v>
      </c>
      <c r="C13" s="67" t="s">
        <v>88</v>
      </c>
      <c r="D13" s="67" t="s">
        <v>70</v>
      </c>
      <c r="E13" s="75">
        <v>1330</v>
      </c>
      <c r="F13" s="75">
        <v>297</v>
      </c>
    </row>
    <row r="14" spans="1:6" x14ac:dyDescent="0.25">
      <c r="A14" s="66">
        <v>42993</v>
      </c>
      <c r="B14" s="67" t="s">
        <v>89</v>
      </c>
      <c r="C14" s="67" t="s">
        <v>90</v>
      </c>
      <c r="D14" s="67" t="s">
        <v>70</v>
      </c>
      <c r="E14" s="75">
        <v>1330</v>
      </c>
      <c r="F14" s="75">
        <v>297</v>
      </c>
    </row>
    <row r="15" spans="1:6" x14ac:dyDescent="0.25">
      <c r="A15" s="66">
        <v>43000</v>
      </c>
      <c r="B15" s="67" t="s">
        <v>91</v>
      </c>
      <c r="C15" s="67" t="s">
        <v>92</v>
      </c>
      <c r="D15" s="67" t="s">
        <v>70</v>
      </c>
      <c r="E15" s="75">
        <v>1330</v>
      </c>
      <c r="F15" s="75">
        <v>297</v>
      </c>
    </row>
    <row r="16" spans="1:6" x14ac:dyDescent="0.25">
      <c r="A16" s="66">
        <v>43007</v>
      </c>
      <c r="B16" s="67" t="s">
        <v>93</v>
      </c>
      <c r="C16" s="67" t="s">
        <v>94</v>
      </c>
      <c r="D16" s="67" t="s">
        <v>70</v>
      </c>
      <c r="E16" s="75">
        <v>1330</v>
      </c>
      <c r="F16" s="75">
        <v>297</v>
      </c>
    </row>
    <row r="17" spans="1:6" x14ac:dyDescent="0.25">
      <c r="A17" s="66">
        <v>43014</v>
      </c>
      <c r="B17" s="67" t="s">
        <v>95</v>
      </c>
      <c r="C17" s="67" t="s">
        <v>96</v>
      </c>
      <c r="D17" s="67" t="s">
        <v>70</v>
      </c>
      <c r="E17" s="75">
        <v>1330</v>
      </c>
      <c r="F17" s="75">
        <v>297</v>
      </c>
    </row>
    <row r="18" spans="1:6" x14ac:dyDescent="0.25">
      <c r="A18" s="66">
        <v>43021</v>
      </c>
      <c r="B18" s="67" t="s">
        <v>97</v>
      </c>
      <c r="C18" s="67" t="s">
        <v>98</v>
      </c>
      <c r="D18" s="67" t="s">
        <v>70</v>
      </c>
      <c r="E18" s="75">
        <v>1330</v>
      </c>
      <c r="F18" s="75">
        <v>297</v>
      </c>
    </row>
    <row r="19" spans="1:6" x14ac:dyDescent="0.25">
      <c r="A19" s="66">
        <v>43028</v>
      </c>
      <c r="B19" s="67" t="s">
        <v>99</v>
      </c>
      <c r="C19" s="67" t="s">
        <v>100</v>
      </c>
      <c r="D19" s="67" t="s">
        <v>70</v>
      </c>
      <c r="E19" s="75">
        <v>1330</v>
      </c>
      <c r="F19" s="75">
        <v>297</v>
      </c>
    </row>
    <row r="20" spans="1:6" x14ac:dyDescent="0.25">
      <c r="A20" s="66">
        <v>43035</v>
      </c>
      <c r="B20" s="67" t="s">
        <v>101</v>
      </c>
      <c r="C20" s="67" t="s">
        <v>102</v>
      </c>
      <c r="D20" s="67" t="s">
        <v>70</v>
      </c>
      <c r="E20" s="75">
        <v>1330</v>
      </c>
      <c r="F20" s="75">
        <v>297</v>
      </c>
    </row>
    <row r="21" spans="1:6" x14ac:dyDescent="0.25">
      <c r="A21" s="66">
        <v>43042</v>
      </c>
      <c r="B21" s="67" t="s">
        <v>103</v>
      </c>
      <c r="C21" s="67" t="s">
        <v>104</v>
      </c>
      <c r="D21" s="67" t="s">
        <v>70</v>
      </c>
      <c r="E21" s="75">
        <v>1330</v>
      </c>
      <c r="F21" s="75">
        <v>297</v>
      </c>
    </row>
    <row r="22" spans="1:6" x14ac:dyDescent="0.25">
      <c r="A22" s="66">
        <v>43049</v>
      </c>
      <c r="B22" s="67" t="s">
        <v>105</v>
      </c>
      <c r="C22" s="67" t="s">
        <v>106</v>
      </c>
      <c r="D22" s="67" t="s">
        <v>70</v>
      </c>
      <c r="E22" s="75">
        <v>1330</v>
      </c>
      <c r="F22" s="75">
        <v>297</v>
      </c>
    </row>
    <row r="23" spans="1:6" x14ac:dyDescent="0.25">
      <c r="A23" s="66">
        <v>43056</v>
      </c>
      <c r="B23" s="67" t="s">
        <v>107</v>
      </c>
      <c r="C23" s="67" t="s">
        <v>108</v>
      </c>
      <c r="D23" s="67" t="s">
        <v>70</v>
      </c>
      <c r="E23" s="75">
        <v>1330</v>
      </c>
      <c r="F23" s="75">
        <v>297</v>
      </c>
    </row>
    <row r="24" spans="1:6" x14ac:dyDescent="0.25">
      <c r="A24" s="66">
        <v>43063</v>
      </c>
      <c r="B24" s="67" t="s">
        <v>109</v>
      </c>
      <c r="C24" s="67" t="s">
        <v>110</v>
      </c>
      <c r="D24" s="67" t="s">
        <v>70</v>
      </c>
      <c r="E24" s="75">
        <v>1330</v>
      </c>
      <c r="F24" s="75">
        <v>297</v>
      </c>
    </row>
    <row r="25" spans="1:6" x14ac:dyDescent="0.25">
      <c r="A25" s="66">
        <v>43070</v>
      </c>
      <c r="B25" s="67" t="s">
        <v>111</v>
      </c>
      <c r="C25" s="67" t="s">
        <v>112</v>
      </c>
      <c r="D25" s="67" t="s">
        <v>70</v>
      </c>
      <c r="E25" s="75">
        <v>1330</v>
      </c>
      <c r="F25" s="75">
        <v>297</v>
      </c>
    </row>
    <row r="26" spans="1:6" x14ac:dyDescent="0.25">
      <c r="A26" s="66">
        <v>43084</v>
      </c>
      <c r="B26" s="67" t="s">
        <v>113</v>
      </c>
      <c r="C26" s="67" t="s">
        <v>114</v>
      </c>
      <c r="D26" s="67" t="s">
        <v>70</v>
      </c>
      <c r="E26" s="75">
        <v>1330</v>
      </c>
      <c r="F26" s="75">
        <v>297</v>
      </c>
    </row>
    <row r="27" spans="1:6" x14ac:dyDescent="0.25">
      <c r="A27" s="66">
        <v>43091</v>
      </c>
      <c r="B27" s="67" t="s">
        <v>115</v>
      </c>
      <c r="C27" s="67" t="s">
        <v>116</v>
      </c>
      <c r="D27" s="67" t="s">
        <v>70</v>
      </c>
      <c r="E27" s="75">
        <v>1330</v>
      </c>
      <c r="F27" s="75">
        <v>297</v>
      </c>
    </row>
    <row r="28" spans="1:6" x14ac:dyDescent="0.25">
      <c r="A28" s="66">
        <v>43098</v>
      </c>
      <c r="B28" s="67" t="s">
        <v>117</v>
      </c>
      <c r="C28" s="67" t="s">
        <v>118</v>
      </c>
      <c r="D28" s="67" t="s">
        <v>70</v>
      </c>
      <c r="E28" s="75">
        <v>1330</v>
      </c>
      <c r="F28" s="75">
        <v>297</v>
      </c>
    </row>
    <row r="29" spans="1:6" x14ac:dyDescent="0.25">
      <c r="A29" s="66">
        <v>43105</v>
      </c>
      <c r="B29" s="67" t="s">
        <v>119</v>
      </c>
      <c r="C29" s="67" t="s">
        <v>120</v>
      </c>
      <c r="D29" s="67" t="s">
        <v>70</v>
      </c>
      <c r="E29" s="75">
        <v>1330</v>
      </c>
      <c r="F29" s="75">
        <v>297</v>
      </c>
    </row>
    <row r="30" spans="1:6" x14ac:dyDescent="0.25">
      <c r="A30" s="66">
        <v>43112</v>
      </c>
      <c r="B30" s="67" t="s">
        <v>121</v>
      </c>
      <c r="C30" s="67" t="s">
        <v>122</v>
      </c>
      <c r="D30" s="67" t="s">
        <v>70</v>
      </c>
      <c r="E30" s="75">
        <v>1330</v>
      </c>
      <c r="F30" s="75">
        <v>297</v>
      </c>
    </row>
    <row r="31" spans="1:6" x14ac:dyDescent="0.25">
      <c r="A31" s="66">
        <v>43119</v>
      </c>
      <c r="B31" s="67" t="s">
        <v>123</v>
      </c>
      <c r="C31" s="67" t="s">
        <v>124</v>
      </c>
      <c r="D31" s="67" t="s">
        <v>70</v>
      </c>
      <c r="E31" s="75">
        <v>1330</v>
      </c>
      <c r="F31" s="75">
        <v>297</v>
      </c>
    </row>
    <row r="32" spans="1:6" x14ac:dyDescent="0.25">
      <c r="A32" s="66">
        <v>43126</v>
      </c>
      <c r="B32" s="67" t="s">
        <v>125</v>
      </c>
      <c r="C32" s="67" t="s">
        <v>126</v>
      </c>
      <c r="D32" s="67" t="s">
        <v>70</v>
      </c>
      <c r="E32" s="75">
        <v>1330</v>
      </c>
      <c r="F32" s="75">
        <v>297</v>
      </c>
    </row>
    <row r="33" spans="1:6" x14ac:dyDescent="0.25">
      <c r="A33" s="66">
        <v>43133</v>
      </c>
      <c r="B33" s="67" t="s">
        <v>127</v>
      </c>
      <c r="C33" s="67" t="s">
        <v>128</v>
      </c>
      <c r="D33" s="67" t="s">
        <v>70</v>
      </c>
      <c r="E33" s="75">
        <v>1330</v>
      </c>
      <c r="F33" s="75">
        <v>297</v>
      </c>
    </row>
    <row r="34" spans="1:6" x14ac:dyDescent="0.25">
      <c r="A34" s="66">
        <v>43140</v>
      </c>
      <c r="B34" s="67" t="s">
        <v>129</v>
      </c>
      <c r="C34" s="67" t="s">
        <v>130</v>
      </c>
      <c r="D34" s="67" t="s">
        <v>70</v>
      </c>
      <c r="E34" s="75">
        <v>1330</v>
      </c>
      <c r="F34" s="75">
        <v>297</v>
      </c>
    </row>
    <row r="35" spans="1:6" x14ac:dyDescent="0.25">
      <c r="A35" s="66">
        <v>43147</v>
      </c>
      <c r="B35" s="67" t="s">
        <v>131</v>
      </c>
      <c r="C35" s="67" t="s">
        <v>132</v>
      </c>
      <c r="D35" s="67" t="s">
        <v>70</v>
      </c>
      <c r="E35" s="75">
        <v>1330</v>
      </c>
      <c r="F35" s="75">
        <v>297</v>
      </c>
    </row>
    <row r="36" spans="1:6" x14ac:dyDescent="0.25">
      <c r="A36" s="66">
        <v>43154</v>
      </c>
      <c r="B36" s="67" t="s">
        <v>133</v>
      </c>
      <c r="C36" s="67" t="s">
        <v>134</v>
      </c>
      <c r="D36" s="67" t="s">
        <v>70</v>
      </c>
      <c r="E36" s="75">
        <v>1330</v>
      </c>
      <c r="F36" s="75">
        <v>297</v>
      </c>
    </row>
    <row r="37" spans="1:6" x14ac:dyDescent="0.25">
      <c r="A37" s="66">
        <v>43161</v>
      </c>
      <c r="B37" s="67" t="s">
        <v>135</v>
      </c>
      <c r="C37" s="67" t="s">
        <v>136</v>
      </c>
      <c r="D37" s="67" t="s">
        <v>70</v>
      </c>
      <c r="E37" s="75">
        <v>1330</v>
      </c>
      <c r="F37" s="75">
        <v>297</v>
      </c>
    </row>
    <row r="38" spans="1:6" x14ac:dyDescent="0.25">
      <c r="A38" s="66">
        <v>43168</v>
      </c>
      <c r="B38" s="67" t="s">
        <v>137</v>
      </c>
      <c r="C38" s="67" t="s">
        <v>138</v>
      </c>
      <c r="D38" s="67" t="s">
        <v>70</v>
      </c>
      <c r="E38" s="75">
        <v>1330</v>
      </c>
      <c r="F38" s="75">
        <v>297</v>
      </c>
    </row>
    <row r="39" spans="1:6" x14ac:dyDescent="0.25">
      <c r="A39" s="66">
        <v>43175</v>
      </c>
      <c r="B39" s="67" t="s">
        <v>139</v>
      </c>
      <c r="C39" s="67" t="s">
        <v>140</v>
      </c>
      <c r="D39" s="67" t="s">
        <v>70</v>
      </c>
      <c r="E39" s="75">
        <v>1330</v>
      </c>
      <c r="F39" s="75">
        <v>297</v>
      </c>
    </row>
    <row r="40" spans="1:6" x14ac:dyDescent="0.25">
      <c r="A40" s="66">
        <v>43182</v>
      </c>
      <c r="B40" s="67" t="s">
        <v>141</v>
      </c>
      <c r="C40" s="67" t="s">
        <v>142</v>
      </c>
      <c r="D40" s="67" t="s">
        <v>70</v>
      </c>
      <c r="E40" s="75">
        <v>1330</v>
      </c>
      <c r="F40" s="75">
        <v>297</v>
      </c>
    </row>
    <row r="41" spans="1:6" x14ac:dyDescent="0.25">
      <c r="A41" s="66">
        <v>43189</v>
      </c>
      <c r="B41" s="67" t="s">
        <v>143</v>
      </c>
      <c r="C41" s="67" t="s">
        <v>144</v>
      </c>
      <c r="D41" s="67" t="s">
        <v>70</v>
      </c>
      <c r="E41" s="75">
        <v>1330</v>
      </c>
      <c r="F41" s="75">
        <v>297</v>
      </c>
    </row>
    <row r="42" spans="1:6" x14ac:dyDescent="0.25">
      <c r="A42" s="66">
        <v>43196</v>
      </c>
      <c r="B42" s="67" t="s">
        <v>145</v>
      </c>
      <c r="C42" s="67" t="s">
        <v>146</v>
      </c>
      <c r="D42" s="67" t="s">
        <v>70</v>
      </c>
      <c r="E42" s="75">
        <v>1330</v>
      </c>
      <c r="F42" s="75">
        <v>297</v>
      </c>
    </row>
    <row r="43" spans="1:6" x14ac:dyDescent="0.25">
      <c r="A43" s="66">
        <v>43204</v>
      </c>
      <c r="B43" s="67" t="s">
        <v>147</v>
      </c>
      <c r="C43" s="67" t="s">
        <v>148</v>
      </c>
      <c r="D43" s="67" t="s">
        <v>70</v>
      </c>
      <c r="E43" s="75">
        <v>1330</v>
      </c>
      <c r="F43" s="75">
        <v>297</v>
      </c>
    </row>
    <row r="44" spans="1:6" x14ac:dyDescent="0.25">
      <c r="A44" s="66">
        <v>43210</v>
      </c>
      <c r="B44" s="67" t="s">
        <v>149</v>
      </c>
      <c r="C44" s="67" t="s">
        <v>150</v>
      </c>
      <c r="D44" s="67" t="s">
        <v>70</v>
      </c>
      <c r="E44" s="75">
        <v>1330</v>
      </c>
      <c r="F44" s="75">
        <v>297</v>
      </c>
    </row>
    <row r="45" spans="1:6" x14ac:dyDescent="0.25">
      <c r="A45" s="66">
        <v>43217</v>
      </c>
      <c r="B45" s="67" t="s">
        <v>151</v>
      </c>
      <c r="C45" s="67" t="s">
        <v>152</v>
      </c>
      <c r="D45" s="67" t="s">
        <v>70</v>
      </c>
      <c r="E45" s="75">
        <v>1330</v>
      </c>
      <c r="F45" s="75">
        <v>297</v>
      </c>
    </row>
    <row r="46" spans="1:6" x14ac:dyDescent="0.25">
      <c r="A46" s="66">
        <v>43224</v>
      </c>
      <c r="B46" s="67" t="s">
        <v>153</v>
      </c>
      <c r="C46" s="67" t="s">
        <v>154</v>
      </c>
      <c r="D46" s="67" t="s">
        <v>70</v>
      </c>
      <c r="E46" s="75">
        <v>1330</v>
      </c>
      <c r="F46" s="75">
        <v>297</v>
      </c>
    </row>
    <row r="47" spans="1:6" x14ac:dyDescent="0.25">
      <c r="A47" s="66">
        <v>43231</v>
      </c>
      <c r="B47" s="67" t="s">
        <v>155</v>
      </c>
      <c r="C47" s="67" t="s">
        <v>156</v>
      </c>
      <c r="D47" s="67" t="s">
        <v>70</v>
      </c>
      <c r="E47" s="75">
        <v>1330</v>
      </c>
      <c r="F47" s="75">
        <v>297</v>
      </c>
    </row>
    <row r="48" spans="1:6" x14ac:dyDescent="0.25">
      <c r="A48" s="66">
        <v>43238</v>
      </c>
      <c r="B48" s="67" t="s">
        <v>157</v>
      </c>
      <c r="C48" s="67" t="s">
        <v>158</v>
      </c>
      <c r="D48" s="67" t="s">
        <v>70</v>
      </c>
      <c r="E48" s="75">
        <v>1330</v>
      </c>
      <c r="F48" s="75">
        <v>297</v>
      </c>
    </row>
    <row r="49" spans="1:6" ht="15.75" thickBot="1" x14ac:dyDescent="0.3">
      <c r="A49" s="68">
        <v>43245</v>
      </c>
      <c r="B49" s="69" t="s">
        <v>159</v>
      </c>
      <c r="C49" s="69" t="s">
        <v>160</v>
      </c>
      <c r="D49" s="69" t="s">
        <v>70</v>
      </c>
      <c r="E49" s="76">
        <v>1330</v>
      </c>
      <c r="F49" s="76">
        <v>297</v>
      </c>
    </row>
    <row r="51" spans="1:6" x14ac:dyDescent="0.25">
      <c r="D51" s="70" t="s">
        <v>164</v>
      </c>
      <c r="E51" s="64">
        <f>SUM(E4:E49)</f>
        <v>61180</v>
      </c>
      <c r="F51" s="64">
        <f>SUM(F4:F49)</f>
        <v>13662</v>
      </c>
    </row>
    <row r="53" spans="1:6" x14ac:dyDescent="0.25">
      <c r="D53" s="70" t="s">
        <v>165</v>
      </c>
      <c r="E53" s="64">
        <f>1330*5</f>
        <v>6650</v>
      </c>
      <c r="F53" s="64">
        <f>297*5</f>
        <v>1485</v>
      </c>
    </row>
    <row r="55" spans="1:6" ht="20.25" customHeight="1" x14ac:dyDescent="0.25">
      <c r="C55" s="71"/>
      <c r="D55" s="73" t="s">
        <v>166</v>
      </c>
      <c r="E55" s="72">
        <f>E51+E53</f>
        <v>67830</v>
      </c>
      <c r="F55" s="72">
        <f>F51+F53</f>
        <v>15147</v>
      </c>
    </row>
  </sheetData>
  <customSheetViews>
    <customSheetView guid="{021DB28E-2E98-411A-B70D-B795B40C598B}" state="hidden" topLeftCell="A46">
      <selection activeCell="C51" sqref="C51:F55"/>
      <pageMargins left="0.7" right="0.7" top="0.75" bottom="0.75" header="0.3" footer="0.3"/>
    </customSheetView>
  </customSheetViews>
  <mergeCells count="1">
    <mergeCell ref="A1:F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dimension ref="A3:A4"/>
  <sheetViews>
    <sheetView workbookViewId="0"/>
  </sheetViews>
  <sheetFormatPr defaultRowHeight="15" x14ac:dyDescent="0.25"/>
  <sheetData>
    <row r="3" spans="1:1" x14ac:dyDescent="0.25">
      <c r="A3" t="s">
        <v>41</v>
      </c>
    </row>
    <row r="4" spans="1:1" x14ac:dyDescent="0.25">
      <c r="A4" t="s">
        <v>42</v>
      </c>
    </row>
  </sheetData>
  <customSheetViews>
    <customSheetView guid="{021DB28E-2E98-411A-B70D-B795B40C598B}" state="hidden">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7"/>
  <sheetViews>
    <sheetView workbookViewId="0">
      <selection activeCell="A17" sqref="A17"/>
    </sheetView>
  </sheetViews>
  <sheetFormatPr defaultRowHeight="12.75" x14ac:dyDescent="0.25"/>
  <cols>
    <col min="1" max="1" width="23.85546875" style="210" customWidth="1"/>
    <col min="2" max="2" width="20.28515625" style="210" customWidth="1"/>
    <col min="3" max="3" width="23.85546875" style="210" customWidth="1"/>
    <col min="4" max="4" width="14.28515625" style="210" customWidth="1"/>
    <col min="5" max="5" width="9.5703125" style="210" customWidth="1"/>
    <col min="6" max="6" width="3.85546875" style="210" customWidth="1"/>
    <col min="7" max="8" width="14.28515625" style="210" customWidth="1"/>
    <col min="9" max="9" width="1.85546875" style="210" customWidth="1"/>
    <col min="10" max="15" width="14.28515625" style="210" customWidth="1"/>
    <col min="16" max="256" width="9.140625" style="210"/>
    <col min="257" max="259" width="23.85546875" style="210" customWidth="1"/>
    <col min="260" max="260" width="14.28515625" style="210" customWidth="1"/>
    <col min="261" max="261" width="9.5703125" style="210" customWidth="1"/>
    <col min="262" max="262" width="3.85546875" style="210" customWidth="1"/>
    <col min="263" max="264" width="14.28515625" style="210" customWidth="1"/>
    <col min="265" max="265" width="1.85546875" style="210" customWidth="1"/>
    <col min="266" max="271" width="14.28515625" style="210" customWidth="1"/>
    <col min="272" max="512" width="9.140625" style="210"/>
    <col min="513" max="515" width="23.85546875" style="210" customWidth="1"/>
    <col min="516" max="516" width="14.28515625" style="210" customWidth="1"/>
    <col min="517" max="517" width="9.5703125" style="210" customWidth="1"/>
    <col min="518" max="518" width="3.85546875" style="210" customWidth="1"/>
    <col min="519" max="520" width="14.28515625" style="210" customWidth="1"/>
    <col min="521" max="521" width="1.85546875" style="210" customWidth="1"/>
    <col min="522" max="527" width="14.28515625" style="210" customWidth="1"/>
    <col min="528" max="768" width="9.140625" style="210"/>
    <col min="769" max="771" width="23.85546875" style="210" customWidth="1"/>
    <col min="772" max="772" width="14.28515625" style="210" customWidth="1"/>
    <col min="773" max="773" width="9.5703125" style="210" customWidth="1"/>
    <col min="774" max="774" width="3.85546875" style="210" customWidth="1"/>
    <col min="775" max="776" width="14.28515625" style="210" customWidth="1"/>
    <col min="777" max="777" width="1.85546875" style="210" customWidth="1"/>
    <col min="778" max="783" width="14.28515625" style="210" customWidth="1"/>
    <col min="784" max="1024" width="9.140625" style="210"/>
    <col min="1025" max="1027" width="23.85546875" style="210" customWidth="1"/>
    <col min="1028" max="1028" width="14.28515625" style="210" customWidth="1"/>
    <col min="1029" max="1029" width="9.5703125" style="210" customWidth="1"/>
    <col min="1030" max="1030" width="3.85546875" style="210" customWidth="1"/>
    <col min="1031" max="1032" width="14.28515625" style="210" customWidth="1"/>
    <col min="1033" max="1033" width="1.85546875" style="210" customWidth="1"/>
    <col min="1034" max="1039" width="14.28515625" style="210" customWidth="1"/>
    <col min="1040" max="1280" width="9.140625" style="210"/>
    <col min="1281" max="1283" width="23.85546875" style="210" customWidth="1"/>
    <col min="1284" max="1284" width="14.28515625" style="210" customWidth="1"/>
    <col min="1285" max="1285" width="9.5703125" style="210" customWidth="1"/>
    <col min="1286" max="1286" width="3.85546875" style="210" customWidth="1"/>
    <col min="1287" max="1288" width="14.28515625" style="210" customWidth="1"/>
    <col min="1289" max="1289" width="1.85546875" style="210" customWidth="1"/>
    <col min="1290" max="1295" width="14.28515625" style="210" customWidth="1"/>
    <col min="1296" max="1536" width="9.140625" style="210"/>
    <col min="1537" max="1539" width="23.85546875" style="210" customWidth="1"/>
    <col min="1540" max="1540" width="14.28515625" style="210" customWidth="1"/>
    <col min="1541" max="1541" width="9.5703125" style="210" customWidth="1"/>
    <col min="1542" max="1542" width="3.85546875" style="210" customWidth="1"/>
    <col min="1543" max="1544" width="14.28515625" style="210" customWidth="1"/>
    <col min="1545" max="1545" width="1.85546875" style="210" customWidth="1"/>
    <col min="1546" max="1551" width="14.28515625" style="210" customWidth="1"/>
    <col min="1552" max="1792" width="9.140625" style="210"/>
    <col min="1793" max="1795" width="23.85546875" style="210" customWidth="1"/>
    <col min="1796" max="1796" width="14.28515625" style="210" customWidth="1"/>
    <col min="1797" max="1797" width="9.5703125" style="210" customWidth="1"/>
    <col min="1798" max="1798" width="3.85546875" style="210" customWidth="1"/>
    <col min="1799" max="1800" width="14.28515625" style="210" customWidth="1"/>
    <col min="1801" max="1801" width="1.85546875" style="210" customWidth="1"/>
    <col min="1802" max="1807" width="14.28515625" style="210" customWidth="1"/>
    <col min="1808" max="2048" width="9.140625" style="210"/>
    <col min="2049" max="2051" width="23.85546875" style="210" customWidth="1"/>
    <col min="2052" max="2052" width="14.28515625" style="210" customWidth="1"/>
    <col min="2053" max="2053" width="9.5703125" style="210" customWidth="1"/>
    <col min="2054" max="2054" width="3.85546875" style="210" customWidth="1"/>
    <col min="2055" max="2056" width="14.28515625" style="210" customWidth="1"/>
    <col min="2057" max="2057" width="1.85546875" style="210" customWidth="1"/>
    <col min="2058" max="2063" width="14.28515625" style="210" customWidth="1"/>
    <col min="2064" max="2304" width="9.140625" style="210"/>
    <col min="2305" max="2307" width="23.85546875" style="210" customWidth="1"/>
    <col min="2308" max="2308" width="14.28515625" style="210" customWidth="1"/>
    <col min="2309" max="2309" width="9.5703125" style="210" customWidth="1"/>
    <col min="2310" max="2310" width="3.85546875" style="210" customWidth="1"/>
    <col min="2311" max="2312" width="14.28515625" style="210" customWidth="1"/>
    <col min="2313" max="2313" width="1.85546875" style="210" customWidth="1"/>
    <col min="2314" max="2319" width="14.28515625" style="210" customWidth="1"/>
    <col min="2320" max="2560" width="9.140625" style="210"/>
    <col min="2561" max="2563" width="23.85546875" style="210" customWidth="1"/>
    <col min="2564" max="2564" width="14.28515625" style="210" customWidth="1"/>
    <col min="2565" max="2565" width="9.5703125" style="210" customWidth="1"/>
    <col min="2566" max="2566" width="3.85546875" style="210" customWidth="1"/>
    <col min="2567" max="2568" width="14.28515625" style="210" customWidth="1"/>
    <col min="2569" max="2569" width="1.85546875" style="210" customWidth="1"/>
    <col min="2570" max="2575" width="14.28515625" style="210" customWidth="1"/>
    <col min="2576" max="2816" width="9.140625" style="210"/>
    <col min="2817" max="2819" width="23.85546875" style="210" customWidth="1"/>
    <col min="2820" max="2820" width="14.28515625" style="210" customWidth="1"/>
    <col min="2821" max="2821" width="9.5703125" style="210" customWidth="1"/>
    <col min="2822" max="2822" width="3.85546875" style="210" customWidth="1"/>
    <col min="2823" max="2824" width="14.28515625" style="210" customWidth="1"/>
    <col min="2825" max="2825" width="1.85546875" style="210" customWidth="1"/>
    <col min="2826" max="2831" width="14.28515625" style="210" customWidth="1"/>
    <col min="2832" max="3072" width="9.140625" style="210"/>
    <col min="3073" max="3075" width="23.85546875" style="210" customWidth="1"/>
    <col min="3076" max="3076" width="14.28515625" style="210" customWidth="1"/>
    <col min="3077" max="3077" width="9.5703125" style="210" customWidth="1"/>
    <col min="3078" max="3078" width="3.85546875" style="210" customWidth="1"/>
    <col min="3079" max="3080" width="14.28515625" style="210" customWidth="1"/>
    <col min="3081" max="3081" width="1.85546875" style="210" customWidth="1"/>
    <col min="3082" max="3087" width="14.28515625" style="210" customWidth="1"/>
    <col min="3088" max="3328" width="9.140625" style="210"/>
    <col min="3329" max="3331" width="23.85546875" style="210" customWidth="1"/>
    <col min="3332" max="3332" width="14.28515625" style="210" customWidth="1"/>
    <col min="3333" max="3333" width="9.5703125" style="210" customWidth="1"/>
    <col min="3334" max="3334" width="3.85546875" style="210" customWidth="1"/>
    <col min="3335" max="3336" width="14.28515625" style="210" customWidth="1"/>
    <col min="3337" max="3337" width="1.85546875" style="210" customWidth="1"/>
    <col min="3338" max="3343" width="14.28515625" style="210" customWidth="1"/>
    <col min="3344" max="3584" width="9.140625" style="210"/>
    <col min="3585" max="3587" width="23.85546875" style="210" customWidth="1"/>
    <col min="3588" max="3588" width="14.28515625" style="210" customWidth="1"/>
    <col min="3589" max="3589" width="9.5703125" style="210" customWidth="1"/>
    <col min="3590" max="3590" width="3.85546875" style="210" customWidth="1"/>
    <col min="3591" max="3592" width="14.28515625" style="210" customWidth="1"/>
    <col min="3593" max="3593" width="1.85546875" style="210" customWidth="1"/>
    <col min="3594" max="3599" width="14.28515625" style="210" customWidth="1"/>
    <col min="3600" max="3840" width="9.140625" style="210"/>
    <col min="3841" max="3843" width="23.85546875" style="210" customWidth="1"/>
    <col min="3844" max="3844" width="14.28515625" style="210" customWidth="1"/>
    <col min="3845" max="3845" width="9.5703125" style="210" customWidth="1"/>
    <col min="3846" max="3846" width="3.85546875" style="210" customWidth="1"/>
    <col min="3847" max="3848" width="14.28515625" style="210" customWidth="1"/>
    <col min="3849" max="3849" width="1.85546875" style="210" customWidth="1"/>
    <col min="3850" max="3855" width="14.28515625" style="210" customWidth="1"/>
    <col min="3856" max="4096" width="9.140625" style="210"/>
    <col min="4097" max="4099" width="23.85546875" style="210" customWidth="1"/>
    <col min="4100" max="4100" width="14.28515625" style="210" customWidth="1"/>
    <col min="4101" max="4101" width="9.5703125" style="210" customWidth="1"/>
    <col min="4102" max="4102" width="3.85546875" style="210" customWidth="1"/>
    <col min="4103" max="4104" width="14.28515625" style="210" customWidth="1"/>
    <col min="4105" max="4105" width="1.85546875" style="210" customWidth="1"/>
    <col min="4106" max="4111" width="14.28515625" style="210" customWidth="1"/>
    <col min="4112" max="4352" width="9.140625" style="210"/>
    <col min="4353" max="4355" width="23.85546875" style="210" customWidth="1"/>
    <col min="4356" max="4356" width="14.28515625" style="210" customWidth="1"/>
    <col min="4357" max="4357" width="9.5703125" style="210" customWidth="1"/>
    <col min="4358" max="4358" width="3.85546875" style="210" customWidth="1"/>
    <col min="4359" max="4360" width="14.28515625" style="210" customWidth="1"/>
    <col min="4361" max="4361" width="1.85546875" style="210" customWidth="1"/>
    <col min="4362" max="4367" width="14.28515625" style="210" customWidth="1"/>
    <col min="4368" max="4608" width="9.140625" style="210"/>
    <col min="4609" max="4611" width="23.85546875" style="210" customWidth="1"/>
    <col min="4612" max="4612" width="14.28515625" style="210" customWidth="1"/>
    <col min="4613" max="4613" width="9.5703125" style="210" customWidth="1"/>
    <col min="4614" max="4614" width="3.85546875" style="210" customWidth="1"/>
    <col min="4615" max="4616" width="14.28515625" style="210" customWidth="1"/>
    <col min="4617" max="4617" width="1.85546875" style="210" customWidth="1"/>
    <col min="4618" max="4623" width="14.28515625" style="210" customWidth="1"/>
    <col min="4624" max="4864" width="9.140625" style="210"/>
    <col min="4865" max="4867" width="23.85546875" style="210" customWidth="1"/>
    <col min="4868" max="4868" width="14.28515625" style="210" customWidth="1"/>
    <col min="4869" max="4869" width="9.5703125" style="210" customWidth="1"/>
    <col min="4870" max="4870" width="3.85546875" style="210" customWidth="1"/>
    <col min="4871" max="4872" width="14.28515625" style="210" customWidth="1"/>
    <col min="4873" max="4873" width="1.85546875" style="210" customWidth="1"/>
    <col min="4874" max="4879" width="14.28515625" style="210" customWidth="1"/>
    <col min="4880" max="5120" width="9.140625" style="210"/>
    <col min="5121" max="5123" width="23.85546875" style="210" customWidth="1"/>
    <col min="5124" max="5124" width="14.28515625" style="210" customWidth="1"/>
    <col min="5125" max="5125" width="9.5703125" style="210" customWidth="1"/>
    <col min="5126" max="5126" width="3.85546875" style="210" customWidth="1"/>
    <col min="5127" max="5128" width="14.28515625" style="210" customWidth="1"/>
    <col min="5129" max="5129" width="1.85546875" style="210" customWidth="1"/>
    <col min="5130" max="5135" width="14.28515625" style="210" customWidth="1"/>
    <col min="5136" max="5376" width="9.140625" style="210"/>
    <col min="5377" max="5379" width="23.85546875" style="210" customWidth="1"/>
    <col min="5380" max="5380" width="14.28515625" style="210" customWidth="1"/>
    <col min="5381" max="5381" width="9.5703125" style="210" customWidth="1"/>
    <col min="5382" max="5382" width="3.85546875" style="210" customWidth="1"/>
    <col min="5383" max="5384" width="14.28515625" style="210" customWidth="1"/>
    <col min="5385" max="5385" width="1.85546875" style="210" customWidth="1"/>
    <col min="5386" max="5391" width="14.28515625" style="210" customWidth="1"/>
    <col min="5392" max="5632" width="9.140625" style="210"/>
    <col min="5633" max="5635" width="23.85546875" style="210" customWidth="1"/>
    <col min="5636" max="5636" width="14.28515625" style="210" customWidth="1"/>
    <col min="5637" max="5637" width="9.5703125" style="210" customWidth="1"/>
    <col min="5638" max="5638" width="3.85546875" style="210" customWidth="1"/>
    <col min="5639" max="5640" width="14.28515625" style="210" customWidth="1"/>
    <col min="5641" max="5641" width="1.85546875" style="210" customWidth="1"/>
    <col min="5642" max="5647" width="14.28515625" style="210" customWidth="1"/>
    <col min="5648" max="5888" width="9.140625" style="210"/>
    <col min="5889" max="5891" width="23.85546875" style="210" customWidth="1"/>
    <col min="5892" max="5892" width="14.28515625" style="210" customWidth="1"/>
    <col min="5893" max="5893" width="9.5703125" style="210" customWidth="1"/>
    <col min="5894" max="5894" width="3.85546875" style="210" customWidth="1"/>
    <col min="5895" max="5896" width="14.28515625" style="210" customWidth="1"/>
    <col min="5897" max="5897" width="1.85546875" style="210" customWidth="1"/>
    <col min="5898" max="5903" width="14.28515625" style="210" customWidth="1"/>
    <col min="5904" max="6144" width="9.140625" style="210"/>
    <col min="6145" max="6147" width="23.85546875" style="210" customWidth="1"/>
    <col min="6148" max="6148" width="14.28515625" style="210" customWidth="1"/>
    <col min="6149" max="6149" width="9.5703125" style="210" customWidth="1"/>
    <col min="6150" max="6150" width="3.85546875" style="210" customWidth="1"/>
    <col min="6151" max="6152" width="14.28515625" style="210" customWidth="1"/>
    <col min="6153" max="6153" width="1.85546875" style="210" customWidth="1"/>
    <col min="6154" max="6159" width="14.28515625" style="210" customWidth="1"/>
    <col min="6160" max="6400" width="9.140625" style="210"/>
    <col min="6401" max="6403" width="23.85546875" style="210" customWidth="1"/>
    <col min="6404" max="6404" width="14.28515625" style="210" customWidth="1"/>
    <col min="6405" max="6405" width="9.5703125" style="210" customWidth="1"/>
    <col min="6406" max="6406" width="3.85546875" style="210" customWidth="1"/>
    <col min="6407" max="6408" width="14.28515625" style="210" customWidth="1"/>
    <col min="6409" max="6409" width="1.85546875" style="210" customWidth="1"/>
    <col min="6410" max="6415" width="14.28515625" style="210" customWidth="1"/>
    <col min="6416" max="6656" width="9.140625" style="210"/>
    <col min="6657" max="6659" width="23.85546875" style="210" customWidth="1"/>
    <col min="6660" max="6660" width="14.28515625" style="210" customWidth="1"/>
    <col min="6661" max="6661" width="9.5703125" style="210" customWidth="1"/>
    <col min="6662" max="6662" width="3.85546875" style="210" customWidth="1"/>
    <col min="6663" max="6664" width="14.28515625" style="210" customWidth="1"/>
    <col min="6665" max="6665" width="1.85546875" style="210" customWidth="1"/>
    <col min="6666" max="6671" width="14.28515625" style="210" customWidth="1"/>
    <col min="6672" max="6912" width="9.140625" style="210"/>
    <col min="6913" max="6915" width="23.85546875" style="210" customWidth="1"/>
    <col min="6916" max="6916" width="14.28515625" style="210" customWidth="1"/>
    <col min="6917" max="6917" width="9.5703125" style="210" customWidth="1"/>
    <col min="6918" max="6918" width="3.85546875" style="210" customWidth="1"/>
    <col min="6919" max="6920" width="14.28515625" style="210" customWidth="1"/>
    <col min="6921" max="6921" width="1.85546875" style="210" customWidth="1"/>
    <col min="6922" max="6927" width="14.28515625" style="210" customWidth="1"/>
    <col min="6928" max="7168" width="9.140625" style="210"/>
    <col min="7169" max="7171" width="23.85546875" style="210" customWidth="1"/>
    <col min="7172" max="7172" width="14.28515625" style="210" customWidth="1"/>
    <col min="7173" max="7173" width="9.5703125" style="210" customWidth="1"/>
    <col min="7174" max="7174" width="3.85546875" style="210" customWidth="1"/>
    <col min="7175" max="7176" width="14.28515625" style="210" customWidth="1"/>
    <col min="7177" max="7177" width="1.85546875" style="210" customWidth="1"/>
    <col min="7178" max="7183" width="14.28515625" style="210" customWidth="1"/>
    <col min="7184" max="7424" width="9.140625" style="210"/>
    <col min="7425" max="7427" width="23.85546875" style="210" customWidth="1"/>
    <col min="7428" max="7428" width="14.28515625" style="210" customWidth="1"/>
    <col min="7429" max="7429" width="9.5703125" style="210" customWidth="1"/>
    <col min="7430" max="7430" width="3.85546875" style="210" customWidth="1"/>
    <col min="7431" max="7432" width="14.28515625" style="210" customWidth="1"/>
    <col min="7433" max="7433" width="1.85546875" style="210" customWidth="1"/>
    <col min="7434" max="7439" width="14.28515625" style="210" customWidth="1"/>
    <col min="7440" max="7680" width="9.140625" style="210"/>
    <col min="7681" max="7683" width="23.85546875" style="210" customWidth="1"/>
    <col min="7684" max="7684" width="14.28515625" style="210" customWidth="1"/>
    <col min="7685" max="7685" width="9.5703125" style="210" customWidth="1"/>
    <col min="7686" max="7686" width="3.85546875" style="210" customWidth="1"/>
    <col min="7687" max="7688" width="14.28515625" style="210" customWidth="1"/>
    <col min="7689" max="7689" width="1.85546875" style="210" customWidth="1"/>
    <col min="7690" max="7695" width="14.28515625" style="210" customWidth="1"/>
    <col min="7696" max="7936" width="9.140625" style="210"/>
    <col min="7937" max="7939" width="23.85546875" style="210" customWidth="1"/>
    <col min="7940" max="7940" width="14.28515625" style="210" customWidth="1"/>
    <col min="7941" max="7941" width="9.5703125" style="210" customWidth="1"/>
    <col min="7942" max="7942" width="3.85546875" style="210" customWidth="1"/>
    <col min="7943" max="7944" width="14.28515625" style="210" customWidth="1"/>
    <col min="7945" max="7945" width="1.85546875" style="210" customWidth="1"/>
    <col min="7946" max="7951" width="14.28515625" style="210" customWidth="1"/>
    <col min="7952" max="8192" width="9.140625" style="210"/>
    <col min="8193" max="8195" width="23.85546875" style="210" customWidth="1"/>
    <col min="8196" max="8196" width="14.28515625" style="210" customWidth="1"/>
    <col min="8197" max="8197" width="9.5703125" style="210" customWidth="1"/>
    <col min="8198" max="8198" width="3.85546875" style="210" customWidth="1"/>
    <col min="8199" max="8200" width="14.28515625" style="210" customWidth="1"/>
    <col min="8201" max="8201" width="1.85546875" style="210" customWidth="1"/>
    <col min="8202" max="8207" width="14.28515625" style="210" customWidth="1"/>
    <col min="8208" max="8448" width="9.140625" style="210"/>
    <col min="8449" max="8451" width="23.85546875" style="210" customWidth="1"/>
    <col min="8452" max="8452" width="14.28515625" style="210" customWidth="1"/>
    <col min="8453" max="8453" width="9.5703125" style="210" customWidth="1"/>
    <col min="8454" max="8454" width="3.85546875" style="210" customWidth="1"/>
    <col min="8455" max="8456" width="14.28515625" style="210" customWidth="1"/>
    <col min="8457" max="8457" width="1.85546875" style="210" customWidth="1"/>
    <col min="8458" max="8463" width="14.28515625" style="210" customWidth="1"/>
    <col min="8464" max="8704" width="9.140625" style="210"/>
    <col min="8705" max="8707" width="23.85546875" style="210" customWidth="1"/>
    <col min="8708" max="8708" width="14.28515625" style="210" customWidth="1"/>
    <col min="8709" max="8709" width="9.5703125" style="210" customWidth="1"/>
    <col min="8710" max="8710" width="3.85546875" style="210" customWidth="1"/>
    <col min="8711" max="8712" width="14.28515625" style="210" customWidth="1"/>
    <col min="8713" max="8713" width="1.85546875" style="210" customWidth="1"/>
    <col min="8714" max="8719" width="14.28515625" style="210" customWidth="1"/>
    <col min="8720" max="8960" width="9.140625" style="210"/>
    <col min="8961" max="8963" width="23.85546875" style="210" customWidth="1"/>
    <col min="8964" max="8964" width="14.28515625" style="210" customWidth="1"/>
    <col min="8965" max="8965" width="9.5703125" style="210" customWidth="1"/>
    <col min="8966" max="8966" width="3.85546875" style="210" customWidth="1"/>
    <col min="8967" max="8968" width="14.28515625" style="210" customWidth="1"/>
    <col min="8969" max="8969" width="1.85546875" style="210" customWidth="1"/>
    <col min="8970" max="8975" width="14.28515625" style="210" customWidth="1"/>
    <col min="8976" max="9216" width="9.140625" style="210"/>
    <col min="9217" max="9219" width="23.85546875" style="210" customWidth="1"/>
    <col min="9220" max="9220" width="14.28515625" style="210" customWidth="1"/>
    <col min="9221" max="9221" width="9.5703125" style="210" customWidth="1"/>
    <col min="9222" max="9222" width="3.85546875" style="210" customWidth="1"/>
    <col min="9223" max="9224" width="14.28515625" style="210" customWidth="1"/>
    <col min="9225" max="9225" width="1.85546875" style="210" customWidth="1"/>
    <col min="9226" max="9231" width="14.28515625" style="210" customWidth="1"/>
    <col min="9232" max="9472" width="9.140625" style="210"/>
    <col min="9473" max="9475" width="23.85546875" style="210" customWidth="1"/>
    <col min="9476" max="9476" width="14.28515625" style="210" customWidth="1"/>
    <col min="9477" max="9477" width="9.5703125" style="210" customWidth="1"/>
    <col min="9478" max="9478" width="3.85546875" style="210" customWidth="1"/>
    <col min="9479" max="9480" width="14.28515625" style="210" customWidth="1"/>
    <col min="9481" max="9481" width="1.85546875" style="210" customWidth="1"/>
    <col min="9482" max="9487" width="14.28515625" style="210" customWidth="1"/>
    <col min="9488" max="9728" width="9.140625" style="210"/>
    <col min="9729" max="9731" width="23.85546875" style="210" customWidth="1"/>
    <col min="9732" max="9732" width="14.28515625" style="210" customWidth="1"/>
    <col min="9733" max="9733" width="9.5703125" style="210" customWidth="1"/>
    <col min="9734" max="9734" width="3.85546875" style="210" customWidth="1"/>
    <col min="9735" max="9736" width="14.28515625" style="210" customWidth="1"/>
    <col min="9737" max="9737" width="1.85546875" style="210" customWidth="1"/>
    <col min="9738" max="9743" width="14.28515625" style="210" customWidth="1"/>
    <col min="9744" max="9984" width="9.140625" style="210"/>
    <col min="9985" max="9987" width="23.85546875" style="210" customWidth="1"/>
    <col min="9988" max="9988" width="14.28515625" style="210" customWidth="1"/>
    <col min="9989" max="9989" width="9.5703125" style="210" customWidth="1"/>
    <col min="9990" max="9990" width="3.85546875" style="210" customWidth="1"/>
    <col min="9991" max="9992" width="14.28515625" style="210" customWidth="1"/>
    <col min="9993" max="9993" width="1.85546875" style="210" customWidth="1"/>
    <col min="9994" max="9999" width="14.28515625" style="210" customWidth="1"/>
    <col min="10000" max="10240" width="9.140625" style="210"/>
    <col min="10241" max="10243" width="23.85546875" style="210" customWidth="1"/>
    <col min="10244" max="10244" width="14.28515625" style="210" customWidth="1"/>
    <col min="10245" max="10245" width="9.5703125" style="210" customWidth="1"/>
    <col min="10246" max="10246" width="3.85546875" style="210" customWidth="1"/>
    <col min="10247" max="10248" width="14.28515625" style="210" customWidth="1"/>
    <col min="10249" max="10249" width="1.85546875" style="210" customWidth="1"/>
    <col min="10250" max="10255" width="14.28515625" style="210" customWidth="1"/>
    <col min="10256" max="10496" width="9.140625" style="210"/>
    <col min="10497" max="10499" width="23.85546875" style="210" customWidth="1"/>
    <col min="10500" max="10500" width="14.28515625" style="210" customWidth="1"/>
    <col min="10501" max="10501" width="9.5703125" style="210" customWidth="1"/>
    <col min="10502" max="10502" width="3.85546875" style="210" customWidth="1"/>
    <col min="10503" max="10504" width="14.28515625" style="210" customWidth="1"/>
    <col min="10505" max="10505" width="1.85546875" style="210" customWidth="1"/>
    <col min="10506" max="10511" width="14.28515625" style="210" customWidth="1"/>
    <col min="10512" max="10752" width="9.140625" style="210"/>
    <col min="10753" max="10755" width="23.85546875" style="210" customWidth="1"/>
    <col min="10756" max="10756" width="14.28515625" style="210" customWidth="1"/>
    <col min="10757" max="10757" width="9.5703125" style="210" customWidth="1"/>
    <col min="10758" max="10758" width="3.85546875" style="210" customWidth="1"/>
    <col min="10759" max="10760" width="14.28515625" style="210" customWidth="1"/>
    <col min="10761" max="10761" width="1.85546875" style="210" customWidth="1"/>
    <col min="10762" max="10767" width="14.28515625" style="210" customWidth="1"/>
    <col min="10768" max="11008" width="9.140625" style="210"/>
    <col min="11009" max="11011" width="23.85546875" style="210" customWidth="1"/>
    <col min="11012" max="11012" width="14.28515625" style="210" customWidth="1"/>
    <col min="11013" max="11013" width="9.5703125" style="210" customWidth="1"/>
    <col min="11014" max="11014" width="3.85546875" style="210" customWidth="1"/>
    <col min="11015" max="11016" width="14.28515625" style="210" customWidth="1"/>
    <col min="11017" max="11017" width="1.85546875" style="210" customWidth="1"/>
    <col min="11018" max="11023" width="14.28515625" style="210" customWidth="1"/>
    <col min="11024" max="11264" width="9.140625" style="210"/>
    <col min="11265" max="11267" width="23.85546875" style="210" customWidth="1"/>
    <col min="11268" max="11268" width="14.28515625" style="210" customWidth="1"/>
    <col min="11269" max="11269" width="9.5703125" style="210" customWidth="1"/>
    <col min="11270" max="11270" width="3.85546875" style="210" customWidth="1"/>
    <col min="11271" max="11272" width="14.28515625" style="210" customWidth="1"/>
    <col min="11273" max="11273" width="1.85546875" style="210" customWidth="1"/>
    <col min="11274" max="11279" width="14.28515625" style="210" customWidth="1"/>
    <col min="11280" max="11520" width="9.140625" style="210"/>
    <col min="11521" max="11523" width="23.85546875" style="210" customWidth="1"/>
    <col min="11524" max="11524" width="14.28515625" style="210" customWidth="1"/>
    <col min="11525" max="11525" width="9.5703125" style="210" customWidth="1"/>
    <col min="11526" max="11526" width="3.85546875" style="210" customWidth="1"/>
    <col min="11527" max="11528" width="14.28515625" style="210" customWidth="1"/>
    <col min="11529" max="11529" width="1.85546875" style="210" customWidth="1"/>
    <col min="11530" max="11535" width="14.28515625" style="210" customWidth="1"/>
    <col min="11536" max="11776" width="9.140625" style="210"/>
    <col min="11777" max="11779" width="23.85546875" style="210" customWidth="1"/>
    <col min="11780" max="11780" width="14.28515625" style="210" customWidth="1"/>
    <col min="11781" max="11781" width="9.5703125" style="210" customWidth="1"/>
    <col min="11782" max="11782" width="3.85546875" style="210" customWidth="1"/>
    <col min="11783" max="11784" width="14.28515625" style="210" customWidth="1"/>
    <col min="11785" max="11785" width="1.85546875" style="210" customWidth="1"/>
    <col min="11786" max="11791" width="14.28515625" style="210" customWidth="1"/>
    <col min="11792" max="12032" width="9.140625" style="210"/>
    <col min="12033" max="12035" width="23.85546875" style="210" customWidth="1"/>
    <col min="12036" max="12036" width="14.28515625" style="210" customWidth="1"/>
    <col min="12037" max="12037" width="9.5703125" style="210" customWidth="1"/>
    <col min="12038" max="12038" width="3.85546875" style="210" customWidth="1"/>
    <col min="12039" max="12040" width="14.28515625" style="210" customWidth="1"/>
    <col min="12041" max="12041" width="1.85546875" style="210" customWidth="1"/>
    <col min="12042" max="12047" width="14.28515625" style="210" customWidth="1"/>
    <col min="12048" max="12288" width="9.140625" style="210"/>
    <col min="12289" max="12291" width="23.85546875" style="210" customWidth="1"/>
    <col min="12292" max="12292" width="14.28515625" style="210" customWidth="1"/>
    <col min="12293" max="12293" width="9.5703125" style="210" customWidth="1"/>
    <col min="12294" max="12294" width="3.85546875" style="210" customWidth="1"/>
    <col min="12295" max="12296" width="14.28515625" style="210" customWidth="1"/>
    <col min="12297" max="12297" width="1.85546875" style="210" customWidth="1"/>
    <col min="12298" max="12303" width="14.28515625" style="210" customWidth="1"/>
    <col min="12304" max="12544" width="9.140625" style="210"/>
    <col min="12545" max="12547" width="23.85546875" style="210" customWidth="1"/>
    <col min="12548" max="12548" width="14.28515625" style="210" customWidth="1"/>
    <col min="12549" max="12549" width="9.5703125" style="210" customWidth="1"/>
    <col min="12550" max="12550" width="3.85546875" style="210" customWidth="1"/>
    <col min="12551" max="12552" width="14.28515625" style="210" customWidth="1"/>
    <col min="12553" max="12553" width="1.85546875" style="210" customWidth="1"/>
    <col min="12554" max="12559" width="14.28515625" style="210" customWidth="1"/>
    <col min="12560" max="12800" width="9.140625" style="210"/>
    <col min="12801" max="12803" width="23.85546875" style="210" customWidth="1"/>
    <col min="12804" max="12804" width="14.28515625" style="210" customWidth="1"/>
    <col min="12805" max="12805" width="9.5703125" style="210" customWidth="1"/>
    <col min="12806" max="12806" width="3.85546875" style="210" customWidth="1"/>
    <col min="12807" max="12808" width="14.28515625" style="210" customWidth="1"/>
    <col min="12809" max="12809" width="1.85546875" style="210" customWidth="1"/>
    <col min="12810" max="12815" width="14.28515625" style="210" customWidth="1"/>
    <col min="12816" max="13056" width="9.140625" style="210"/>
    <col min="13057" max="13059" width="23.85546875" style="210" customWidth="1"/>
    <col min="13060" max="13060" width="14.28515625" style="210" customWidth="1"/>
    <col min="13061" max="13061" width="9.5703125" style="210" customWidth="1"/>
    <col min="13062" max="13062" width="3.85546875" style="210" customWidth="1"/>
    <col min="13063" max="13064" width="14.28515625" style="210" customWidth="1"/>
    <col min="13065" max="13065" width="1.85546875" style="210" customWidth="1"/>
    <col min="13066" max="13071" width="14.28515625" style="210" customWidth="1"/>
    <col min="13072" max="13312" width="9.140625" style="210"/>
    <col min="13313" max="13315" width="23.85546875" style="210" customWidth="1"/>
    <col min="13316" max="13316" width="14.28515625" style="210" customWidth="1"/>
    <col min="13317" max="13317" width="9.5703125" style="210" customWidth="1"/>
    <col min="13318" max="13318" width="3.85546875" style="210" customWidth="1"/>
    <col min="13319" max="13320" width="14.28515625" style="210" customWidth="1"/>
    <col min="13321" max="13321" width="1.85546875" style="210" customWidth="1"/>
    <col min="13322" max="13327" width="14.28515625" style="210" customWidth="1"/>
    <col min="13328" max="13568" width="9.140625" style="210"/>
    <col min="13569" max="13571" width="23.85546875" style="210" customWidth="1"/>
    <col min="13572" max="13572" width="14.28515625" style="210" customWidth="1"/>
    <col min="13573" max="13573" width="9.5703125" style="210" customWidth="1"/>
    <col min="13574" max="13574" width="3.85546875" style="210" customWidth="1"/>
    <col min="13575" max="13576" width="14.28515625" style="210" customWidth="1"/>
    <col min="13577" max="13577" width="1.85546875" style="210" customWidth="1"/>
    <col min="13578" max="13583" width="14.28515625" style="210" customWidth="1"/>
    <col min="13584" max="13824" width="9.140625" style="210"/>
    <col min="13825" max="13827" width="23.85546875" style="210" customWidth="1"/>
    <col min="13828" max="13828" width="14.28515625" style="210" customWidth="1"/>
    <col min="13829" max="13829" width="9.5703125" style="210" customWidth="1"/>
    <col min="13830" max="13830" width="3.85546875" style="210" customWidth="1"/>
    <col min="13831" max="13832" width="14.28515625" style="210" customWidth="1"/>
    <col min="13833" max="13833" width="1.85546875" style="210" customWidth="1"/>
    <col min="13834" max="13839" width="14.28515625" style="210" customWidth="1"/>
    <col min="13840" max="14080" width="9.140625" style="210"/>
    <col min="14081" max="14083" width="23.85546875" style="210" customWidth="1"/>
    <col min="14084" max="14084" width="14.28515625" style="210" customWidth="1"/>
    <col min="14085" max="14085" width="9.5703125" style="210" customWidth="1"/>
    <col min="14086" max="14086" width="3.85546875" style="210" customWidth="1"/>
    <col min="14087" max="14088" width="14.28515625" style="210" customWidth="1"/>
    <col min="14089" max="14089" width="1.85546875" style="210" customWidth="1"/>
    <col min="14090" max="14095" width="14.28515625" style="210" customWidth="1"/>
    <col min="14096" max="14336" width="9.140625" style="210"/>
    <col min="14337" max="14339" width="23.85546875" style="210" customWidth="1"/>
    <col min="14340" max="14340" width="14.28515625" style="210" customWidth="1"/>
    <col min="14341" max="14341" width="9.5703125" style="210" customWidth="1"/>
    <col min="14342" max="14342" width="3.85546875" style="210" customWidth="1"/>
    <col min="14343" max="14344" width="14.28515625" style="210" customWidth="1"/>
    <col min="14345" max="14345" width="1.85546875" style="210" customWidth="1"/>
    <col min="14346" max="14351" width="14.28515625" style="210" customWidth="1"/>
    <col min="14352" max="14592" width="9.140625" style="210"/>
    <col min="14593" max="14595" width="23.85546875" style="210" customWidth="1"/>
    <col min="14596" max="14596" width="14.28515625" style="210" customWidth="1"/>
    <col min="14597" max="14597" width="9.5703125" style="210" customWidth="1"/>
    <col min="14598" max="14598" width="3.85546875" style="210" customWidth="1"/>
    <col min="14599" max="14600" width="14.28515625" style="210" customWidth="1"/>
    <col min="14601" max="14601" width="1.85546875" style="210" customWidth="1"/>
    <col min="14602" max="14607" width="14.28515625" style="210" customWidth="1"/>
    <col min="14608" max="14848" width="9.140625" style="210"/>
    <col min="14849" max="14851" width="23.85546875" style="210" customWidth="1"/>
    <col min="14852" max="14852" width="14.28515625" style="210" customWidth="1"/>
    <col min="14853" max="14853" width="9.5703125" style="210" customWidth="1"/>
    <col min="14854" max="14854" width="3.85546875" style="210" customWidth="1"/>
    <col min="14855" max="14856" width="14.28515625" style="210" customWidth="1"/>
    <col min="14857" max="14857" width="1.85546875" style="210" customWidth="1"/>
    <col min="14858" max="14863" width="14.28515625" style="210" customWidth="1"/>
    <col min="14864" max="15104" width="9.140625" style="210"/>
    <col min="15105" max="15107" width="23.85546875" style="210" customWidth="1"/>
    <col min="15108" max="15108" width="14.28515625" style="210" customWidth="1"/>
    <col min="15109" max="15109" width="9.5703125" style="210" customWidth="1"/>
    <col min="15110" max="15110" width="3.85546875" style="210" customWidth="1"/>
    <col min="15111" max="15112" width="14.28515625" style="210" customWidth="1"/>
    <col min="15113" max="15113" width="1.85546875" style="210" customWidth="1"/>
    <col min="15114" max="15119" width="14.28515625" style="210" customWidth="1"/>
    <col min="15120" max="15360" width="9.140625" style="210"/>
    <col min="15361" max="15363" width="23.85546875" style="210" customWidth="1"/>
    <col min="15364" max="15364" width="14.28515625" style="210" customWidth="1"/>
    <col min="15365" max="15365" width="9.5703125" style="210" customWidth="1"/>
    <col min="15366" max="15366" width="3.85546875" style="210" customWidth="1"/>
    <col min="15367" max="15368" width="14.28515625" style="210" customWidth="1"/>
    <col min="15369" max="15369" width="1.85546875" style="210" customWidth="1"/>
    <col min="15370" max="15375" width="14.28515625" style="210" customWidth="1"/>
    <col min="15376" max="15616" width="9.140625" style="210"/>
    <col min="15617" max="15619" width="23.85546875" style="210" customWidth="1"/>
    <col min="15620" max="15620" width="14.28515625" style="210" customWidth="1"/>
    <col min="15621" max="15621" width="9.5703125" style="210" customWidth="1"/>
    <col min="15622" max="15622" width="3.85546875" style="210" customWidth="1"/>
    <col min="15623" max="15624" width="14.28515625" style="210" customWidth="1"/>
    <col min="15625" max="15625" width="1.85546875" style="210" customWidth="1"/>
    <col min="15626" max="15631" width="14.28515625" style="210" customWidth="1"/>
    <col min="15632" max="15872" width="9.140625" style="210"/>
    <col min="15873" max="15875" width="23.85546875" style="210" customWidth="1"/>
    <col min="15876" max="15876" width="14.28515625" style="210" customWidth="1"/>
    <col min="15877" max="15877" width="9.5703125" style="210" customWidth="1"/>
    <col min="15878" max="15878" width="3.85546875" style="210" customWidth="1"/>
    <col min="15879" max="15880" width="14.28515625" style="210" customWidth="1"/>
    <col min="15881" max="15881" width="1.85546875" style="210" customWidth="1"/>
    <col min="15882" max="15887" width="14.28515625" style="210" customWidth="1"/>
    <col min="15888" max="16128" width="9.140625" style="210"/>
    <col min="16129" max="16131" width="23.85546875" style="210" customWidth="1"/>
    <col min="16132" max="16132" width="14.28515625" style="210" customWidth="1"/>
    <col min="16133" max="16133" width="9.5703125" style="210" customWidth="1"/>
    <col min="16134" max="16134" width="3.85546875" style="210" customWidth="1"/>
    <col min="16135" max="16136" width="14.28515625" style="210" customWidth="1"/>
    <col min="16137" max="16137" width="1.85546875" style="210" customWidth="1"/>
    <col min="16138" max="16143" width="14.28515625" style="210" customWidth="1"/>
    <col min="16144" max="16384" width="9.140625" style="210"/>
  </cols>
  <sheetData>
    <row r="1" spans="1:16" ht="15.75" x14ac:dyDescent="0.25">
      <c r="A1" s="428" t="s">
        <v>372</v>
      </c>
      <c r="B1" s="428"/>
      <c r="C1" s="428"/>
      <c r="D1" s="428"/>
      <c r="E1" s="428"/>
      <c r="F1" s="428"/>
      <c r="G1" s="428"/>
      <c r="H1" s="428"/>
      <c r="I1" s="428"/>
      <c r="J1" s="428"/>
      <c r="K1" s="428"/>
      <c r="L1" s="428"/>
      <c r="M1" s="428"/>
      <c r="N1" s="428"/>
      <c r="O1" s="428"/>
    </row>
    <row r="2" spans="1:16" x14ac:dyDescent="0.25">
      <c r="A2" s="429"/>
      <c r="B2" s="429"/>
      <c r="C2" s="429"/>
      <c r="D2" s="429"/>
      <c r="E2" s="429"/>
      <c r="F2" s="429"/>
      <c r="G2" s="429"/>
      <c r="H2" s="429"/>
      <c r="I2" s="429"/>
      <c r="J2" s="429"/>
      <c r="K2" s="429"/>
      <c r="L2" s="429"/>
      <c r="M2" s="429"/>
      <c r="N2" s="429"/>
      <c r="O2" s="429"/>
    </row>
    <row r="3" spans="1:16" x14ac:dyDescent="0.25">
      <c r="A3" s="429" t="s">
        <v>432</v>
      </c>
      <c r="B3" s="429"/>
      <c r="C3" s="429"/>
      <c r="D3" s="429"/>
      <c r="E3" s="429"/>
      <c r="F3" s="429"/>
      <c r="G3" s="429"/>
      <c r="H3" s="429"/>
      <c r="I3" s="429"/>
      <c r="J3" s="429"/>
      <c r="K3" s="429"/>
      <c r="L3" s="429"/>
      <c r="M3" s="429"/>
      <c r="N3" s="429"/>
      <c r="O3" s="429"/>
    </row>
    <row r="4" spans="1:16" x14ac:dyDescent="0.25">
      <c r="A4" s="430" t="s">
        <v>373</v>
      </c>
      <c r="B4" s="430"/>
      <c r="C4" s="430"/>
      <c r="D4" s="430"/>
      <c r="E4" s="430"/>
      <c r="F4" s="430"/>
      <c r="G4" s="430"/>
      <c r="H4" s="430"/>
      <c r="I4" s="430"/>
      <c r="J4" s="430"/>
      <c r="K4" s="430"/>
      <c r="L4" s="430"/>
      <c r="M4" s="430"/>
      <c r="N4" s="430"/>
      <c r="O4" s="430"/>
    </row>
    <row r="6" spans="1:16" x14ac:dyDescent="0.25">
      <c r="A6" s="211" t="s">
        <v>12</v>
      </c>
      <c r="B6" s="211" t="s">
        <v>374</v>
      </c>
      <c r="C6" s="211" t="s">
        <v>375</v>
      </c>
      <c r="D6" s="211" t="s">
        <v>376</v>
      </c>
      <c r="E6" s="211" t="s">
        <v>377</v>
      </c>
      <c r="F6" s="211"/>
      <c r="G6" s="211" t="s">
        <v>378</v>
      </c>
      <c r="H6" s="211" t="s">
        <v>379</v>
      </c>
      <c r="I6" s="211"/>
      <c r="J6" s="223">
        <v>43647</v>
      </c>
      <c r="K6" s="211" t="s">
        <v>380</v>
      </c>
      <c r="L6" s="211" t="s">
        <v>270</v>
      </c>
      <c r="M6" s="211" t="s">
        <v>381</v>
      </c>
      <c r="N6" s="211" t="s">
        <v>382</v>
      </c>
      <c r="O6" s="223">
        <v>44012</v>
      </c>
      <c r="P6" s="212"/>
    </row>
    <row r="7" spans="1:16" x14ac:dyDescent="0.25">
      <c r="A7" s="213" t="s">
        <v>383</v>
      </c>
    </row>
    <row r="8" spans="1:16" x14ac:dyDescent="0.25">
      <c r="A8" s="214" t="s">
        <v>384</v>
      </c>
      <c r="B8" s="214" t="s">
        <v>385</v>
      </c>
      <c r="C8" s="214" t="s">
        <v>383</v>
      </c>
      <c r="D8" s="214">
        <v>1825</v>
      </c>
      <c r="E8" s="215">
        <v>0</v>
      </c>
      <c r="F8" s="214" t="s">
        <v>386</v>
      </c>
      <c r="G8" s="216">
        <v>42190</v>
      </c>
      <c r="H8" s="214"/>
      <c r="I8" s="214"/>
      <c r="J8" s="214">
        <v>0</v>
      </c>
      <c r="K8" s="214">
        <v>0</v>
      </c>
      <c r="L8" s="214">
        <f t="shared" ref="L8:L14" si="0">IF(ISERROR(MIN(J8+K8,ROUND(IF(F8="SL",D8,J8+K8)*E8/365*(ABS(MAX(G8,DATE(2018,7,1))-MIN(H8,DATE(2019,6,30)))+1),2))),"",MIN(J8+K8,ROUND(IF(F8="SL",D8,J8+K8)*E8/365*(ABS(MAX(G8,DATE(2018,7,1))-MIN(H8,DATE(2019,6,30)))+1),2)))</f>
        <v>0</v>
      </c>
      <c r="M8" s="214">
        <v>0</v>
      </c>
      <c r="N8" s="214">
        <f>1520.91+L8</f>
        <v>1520.91</v>
      </c>
      <c r="O8" s="214">
        <f t="shared" ref="O8:O15" si="1">D8-N8-M8</f>
        <v>304.08999999999992</v>
      </c>
      <c r="P8" s="212"/>
    </row>
    <row r="9" spans="1:16" x14ac:dyDescent="0.25">
      <c r="A9" s="214" t="s">
        <v>387</v>
      </c>
      <c r="B9" s="214" t="s">
        <v>388</v>
      </c>
      <c r="C9" s="214" t="s">
        <v>383</v>
      </c>
      <c r="D9" s="214">
        <v>3675</v>
      </c>
      <c r="E9" s="215">
        <v>0.3</v>
      </c>
      <c r="F9" s="214" t="s">
        <v>389</v>
      </c>
      <c r="G9" s="216">
        <v>42190</v>
      </c>
      <c r="H9" s="214"/>
      <c r="I9" s="214"/>
      <c r="J9" s="214">
        <v>975</v>
      </c>
      <c r="K9" s="214">
        <v>0</v>
      </c>
      <c r="L9" s="214">
        <f t="shared" si="0"/>
        <v>292.5</v>
      </c>
      <c r="M9" s="214">
        <v>0</v>
      </c>
      <c r="N9" s="214">
        <f>2740.31+L9</f>
        <v>3032.81</v>
      </c>
      <c r="O9" s="214">
        <f t="shared" si="1"/>
        <v>642.19000000000005</v>
      </c>
      <c r="P9" s="212"/>
    </row>
    <row r="10" spans="1:16" x14ac:dyDescent="0.25">
      <c r="A10" s="214" t="s">
        <v>390</v>
      </c>
      <c r="B10" s="214" t="s">
        <v>391</v>
      </c>
      <c r="C10" s="214" t="s">
        <v>383</v>
      </c>
      <c r="D10" s="214">
        <v>1075</v>
      </c>
      <c r="E10" s="215">
        <v>0.3</v>
      </c>
      <c r="F10" s="214" t="s">
        <v>389</v>
      </c>
      <c r="G10" s="216">
        <v>41843</v>
      </c>
      <c r="H10" s="214"/>
      <c r="I10" s="214"/>
      <c r="J10" s="214">
        <v>175</v>
      </c>
      <c r="K10" s="214">
        <v>0</v>
      </c>
      <c r="L10" s="214">
        <f>IF(ISERROR(MIN(J10+K10,ROUND(IF(F10="SL",D10,J10+K10)*E10/365*(ABS(MAX(G10,DATE(2018,7,1))-MIN(H10,DATE(2019,6,30)))+1),2))),"",MIN(J10+K10,ROUND(IF(F10="SL",D10,J10+K10)*E10/365*(ABS(MAX(G10,DATE(2018,7,1))-MIN(H10,DATE(2019,6,30)))+1),2)))</f>
        <v>52.5</v>
      </c>
      <c r="M10" s="214">
        <v>0</v>
      </c>
      <c r="N10" s="214">
        <f>903.86+L10</f>
        <v>956.36</v>
      </c>
      <c r="O10" s="214">
        <f t="shared" si="1"/>
        <v>118.63999999999999</v>
      </c>
      <c r="P10" s="212"/>
    </row>
    <row r="11" spans="1:16" x14ac:dyDescent="0.25">
      <c r="A11" s="214" t="s">
        <v>392</v>
      </c>
      <c r="B11" s="214" t="s">
        <v>393</v>
      </c>
      <c r="C11" s="214" t="s">
        <v>383</v>
      </c>
      <c r="D11" s="214">
        <v>1075</v>
      </c>
      <c r="E11" s="215">
        <v>0.3</v>
      </c>
      <c r="F11" s="214" t="s">
        <v>389</v>
      </c>
      <c r="G11" s="216">
        <v>41907</v>
      </c>
      <c r="H11" s="214"/>
      <c r="I11" s="214"/>
      <c r="J11" s="214">
        <v>40</v>
      </c>
      <c r="K11" s="214">
        <v>0</v>
      </c>
      <c r="L11" s="214">
        <f>IF(ISERROR(MIN(J11+K11,ROUND(IF(F11="SL",D11,J11+K11)*E11/365*(ABS(MAX(G11,DATE(2018,7,1))-MIN(H11,DATE(2019,6,30)))+1),2))),"",MIN(J11+K11,ROUND(IF(F11="SL",D11,J11+K11)*E11/365*(ABS(MAX(G11,DATE(2018,7,1))-MIN(H11,DATE(2019,6,30)))+1),2)))</f>
        <v>12</v>
      </c>
      <c r="M11" s="214">
        <v>0</v>
      </c>
      <c r="N11" s="214">
        <f>1005.61+L11</f>
        <v>1017.61</v>
      </c>
      <c r="O11" s="214">
        <f t="shared" si="1"/>
        <v>57.389999999999986</v>
      </c>
      <c r="P11" s="212"/>
    </row>
    <row r="12" spans="1:16" x14ac:dyDescent="0.25">
      <c r="A12" s="214" t="s">
        <v>394</v>
      </c>
      <c r="B12" s="214" t="s">
        <v>395</v>
      </c>
      <c r="C12" s="214" t="s">
        <v>383</v>
      </c>
      <c r="D12" s="214">
        <v>3035</v>
      </c>
      <c r="E12" s="215">
        <v>0.15</v>
      </c>
      <c r="F12" s="214" t="s">
        <v>396</v>
      </c>
      <c r="G12" s="216">
        <v>42552</v>
      </c>
      <c r="H12" s="214"/>
      <c r="I12" s="214"/>
      <c r="J12" s="214">
        <v>2125</v>
      </c>
      <c r="K12" s="214">
        <v>0</v>
      </c>
      <c r="L12" s="214">
        <f t="shared" si="0"/>
        <v>455.25</v>
      </c>
      <c r="M12" s="214">
        <v>0</v>
      </c>
      <c r="N12" s="214">
        <f>903.72+L12</f>
        <v>1358.97</v>
      </c>
      <c r="O12" s="214">
        <f t="shared" si="1"/>
        <v>1676.03</v>
      </c>
      <c r="P12" s="212"/>
    </row>
    <row r="13" spans="1:16" x14ac:dyDescent="0.25">
      <c r="A13" s="214" t="s">
        <v>397</v>
      </c>
      <c r="B13" s="214" t="s">
        <v>398</v>
      </c>
      <c r="C13" s="214" t="s">
        <v>383</v>
      </c>
      <c r="D13" s="214">
        <v>1230</v>
      </c>
      <c r="E13" s="215">
        <v>0.3</v>
      </c>
      <c r="F13" s="214" t="s">
        <v>389</v>
      </c>
      <c r="G13" s="216">
        <v>41845</v>
      </c>
      <c r="H13" s="214"/>
      <c r="I13" s="214"/>
      <c r="J13" s="214">
        <v>200</v>
      </c>
      <c r="K13" s="214">
        <v>0</v>
      </c>
      <c r="L13" s="214">
        <f t="shared" si="0"/>
        <v>60</v>
      </c>
      <c r="M13" s="214">
        <v>0</v>
      </c>
      <c r="N13" s="214">
        <f>1035.21+L13</f>
        <v>1095.21</v>
      </c>
      <c r="O13" s="214">
        <f t="shared" si="1"/>
        <v>134.78999999999996</v>
      </c>
      <c r="P13" s="212"/>
    </row>
    <row r="14" spans="1:16" x14ac:dyDescent="0.25">
      <c r="A14" s="214" t="s">
        <v>397</v>
      </c>
      <c r="B14" s="214" t="s">
        <v>399</v>
      </c>
      <c r="C14" s="214" t="s">
        <v>383</v>
      </c>
      <c r="D14" s="214">
        <v>1335</v>
      </c>
      <c r="E14" s="215">
        <v>0.3</v>
      </c>
      <c r="F14" s="214" t="s">
        <v>389</v>
      </c>
      <c r="G14" s="216">
        <v>41870</v>
      </c>
      <c r="H14" s="214"/>
      <c r="I14" s="214"/>
      <c r="J14" s="214">
        <v>215</v>
      </c>
      <c r="K14" s="214">
        <v>0</v>
      </c>
      <c r="L14" s="214">
        <f t="shared" si="0"/>
        <v>64.5</v>
      </c>
      <c r="M14" s="214">
        <v>0</v>
      </c>
      <c r="N14" s="214">
        <f>1024.71+L14</f>
        <v>1089.21</v>
      </c>
      <c r="O14" s="214">
        <f t="shared" si="1"/>
        <v>245.78999999999996</v>
      </c>
      <c r="P14" s="212"/>
    </row>
    <row r="15" spans="1:16" x14ac:dyDescent="0.25">
      <c r="A15" s="217" t="s">
        <v>400</v>
      </c>
      <c r="B15" s="217"/>
      <c r="C15" s="217"/>
      <c r="D15" s="218">
        <f>SUM(D8:D14)</f>
        <v>13250</v>
      </c>
      <c r="E15" s="219"/>
      <c r="F15" s="217"/>
      <c r="G15" s="217"/>
      <c r="H15" s="217"/>
      <c r="I15" s="217"/>
      <c r="J15" s="218">
        <f>SUM(J8:J14)</f>
        <v>3730</v>
      </c>
      <c r="K15" s="218">
        <f>SUM(K8:K14)</f>
        <v>0</v>
      </c>
      <c r="L15" s="218">
        <f>SUM(L8:L14)</f>
        <v>936.75</v>
      </c>
      <c r="M15" s="218">
        <f>SUM(M8:M14)</f>
        <v>0</v>
      </c>
      <c r="N15" s="218">
        <f>SUM(N8:N14)</f>
        <v>10071.079999999998</v>
      </c>
      <c r="O15" s="218">
        <f t="shared" si="1"/>
        <v>3178.9200000000019</v>
      </c>
      <c r="P15" s="212"/>
    </row>
    <row r="17" spans="1:16" ht="13.5" thickBot="1" x14ac:dyDescent="0.3">
      <c r="A17" s="220" t="s">
        <v>401</v>
      </c>
      <c r="B17" s="220"/>
      <c r="C17" s="220"/>
      <c r="D17" s="221">
        <f>(0+(D15))-(0)</f>
        <v>13250</v>
      </c>
      <c r="E17" s="222"/>
      <c r="F17" s="220"/>
      <c r="G17" s="220"/>
      <c r="H17" s="220"/>
      <c r="I17" s="220"/>
      <c r="J17" s="221">
        <f>(0+(J15))-(0)</f>
        <v>3730</v>
      </c>
      <c r="K17" s="221">
        <f>(0+(K15))-(0)</f>
        <v>0</v>
      </c>
      <c r="L17" s="221">
        <f>(0+(L15))-(0)</f>
        <v>936.75</v>
      </c>
      <c r="M17" s="221">
        <f>(0+(M15))-(0)</f>
        <v>0</v>
      </c>
      <c r="N17" s="221">
        <f>(0+(N15))-(0)</f>
        <v>10071.079999999998</v>
      </c>
      <c r="O17" s="221">
        <f>D17-N17-M17</f>
        <v>3178.9200000000019</v>
      </c>
      <c r="P17" s="212"/>
    </row>
  </sheetData>
  <mergeCells count="4">
    <mergeCell ref="A1:O1"/>
    <mergeCell ref="A2:O2"/>
    <mergeCell ref="A3:O3"/>
    <mergeCell ref="A4:O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215"/>
  <sheetViews>
    <sheetView workbookViewId="0">
      <selection activeCell="J17" sqref="J17"/>
    </sheetView>
  </sheetViews>
  <sheetFormatPr defaultColWidth="10.28515625" defaultRowHeight="12.75" x14ac:dyDescent="0.2"/>
  <cols>
    <col min="1" max="1" width="5.5703125" style="225" customWidth="1"/>
    <col min="2" max="2" width="14.140625" style="225" customWidth="1"/>
    <col min="3" max="4" width="12.28515625" style="225" customWidth="1"/>
    <col min="5" max="5" width="12.28515625" style="225" bestFit="1" customWidth="1"/>
    <col min="6" max="6" width="14.85546875" style="225" customWidth="1"/>
    <col min="7" max="7" width="11" style="225" customWidth="1"/>
    <col min="8" max="8" width="11.28515625" style="225" customWidth="1"/>
    <col min="9" max="26" width="10.28515625" style="225"/>
    <col min="27" max="27" width="0" style="225" hidden="1" customWidth="1"/>
    <col min="28" max="16384" width="10.28515625" style="225"/>
  </cols>
  <sheetData>
    <row r="1" spans="1:27" x14ac:dyDescent="0.2">
      <c r="A1" s="224" t="s">
        <v>402</v>
      </c>
    </row>
    <row r="2" spans="1:27" x14ac:dyDescent="0.2">
      <c r="AA2" s="225" t="s">
        <v>403</v>
      </c>
    </row>
    <row r="3" spans="1:27" hidden="1" x14ac:dyDescent="0.2">
      <c r="B3" s="224" t="s">
        <v>404</v>
      </c>
      <c r="C3" s="226"/>
      <c r="D3" s="226"/>
      <c r="AA3" s="225" t="s">
        <v>405</v>
      </c>
    </row>
    <row r="4" spans="1:27" hidden="1" x14ac:dyDescent="0.2">
      <c r="AA4" s="225" t="s">
        <v>406</v>
      </c>
    </row>
    <row r="5" spans="1:27" x14ac:dyDescent="0.2">
      <c r="B5" s="224" t="s">
        <v>407</v>
      </c>
      <c r="C5" s="227">
        <v>78500</v>
      </c>
      <c r="D5" s="228"/>
      <c r="AA5" s="225" t="s">
        <v>408</v>
      </c>
    </row>
    <row r="6" spans="1:27" x14ac:dyDescent="0.2">
      <c r="B6" s="229"/>
      <c r="C6" s="229"/>
      <c r="D6" s="229"/>
      <c r="E6" s="229"/>
      <c r="F6" s="229"/>
    </row>
    <row r="7" spans="1:27" ht="25.5" x14ac:dyDescent="0.2">
      <c r="B7" s="230" t="s">
        <v>409</v>
      </c>
      <c r="C7" s="230" t="s">
        <v>410</v>
      </c>
      <c r="D7" s="230"/>
      <c r="E7" s="230" t="s">
        <v>411</v>
      </c>
      <c r="F7" s="230" t="s">
        <v>412</v>
      </c>
    </row>
    <row r="8" spans="1:27" x14ac:dyDescent="0.2">
      <c r="B8" s="231">
        <v>47</v>
      </c>
      <c r="C8" s="232">
        <v>2266.59</v>
      </c>
      <c r="D8" s="232"/>
      <c r="E8" s="233">
        <v>43739</v>
      </c>
      <c r="F8" s="231" t="s">
        <v>403</v>
      </c>
      <c r="AA8" s="225">
        <f>IF(F8=AA2,1,IF(F8=AA3,4,IF(F8=AA4,6,12)))</f>
        <v>1</v>
      </c>
    </row>
    <row r="9" spans="1:27" x14ac:dyDescent="0.2">
      <c r="B9" s="231">
        <v>1</v>
      </c>
      <c r="C9" s="232">
        <v>5500</v>
      </c>
      <c r="D9" s="232"/>
      <c r="E9" s="233">
        <v>43739</v>
      </c>
      <c r="F9" s="231" t="s">
        <v>413</v>
      </c>
      <c r="AA9" s="225">
        <f>IF(F8=AA2,12,IF(F8=AA3,4,IF(F8=AA4,2,1)))</f>
        <v>12</v>
      </c>
    </row>
    <row r="10" spans="1:27" x14ac:dyDescent="0.2">
      <c r="C10" s="234"/>
      <c r="D10" s="234"/>
      <c r="AA10" s="235" t="s">
        <v>414</v>
      </c>
    </row>
    <row r="11" spans="1:27" x14ac:dyDescent="0.2">
      <c r="B11" s="236" t="s">
        <v>415</v>
      </c>
      <c r="C11" s="234">
        <f>(C8*B8)+(C9*B9)</f>
        <v>112029.73000000001</v>
      </c>
      <c r="D11" s="234"/>
      <c r="AA11" s="225" t="s">
        <v>413</v>
      </c>
    </row>
    <row r="12" spans="1:27" x14ac:dyDescent="0.2">
      <c r="B12" s="236"/>
    </row>
    <row r="13" spans="1:27" x14ac:dyDescent="0.2">
      <c r="B13" s="236" t="s">
        <v>416</v>
      </c>
      <c r="C13" s="237">
        <f>+C11-C5</f>
        <v>33529.73000000001</v>
      </c>
      <c r="D13" s="237"/>
    </row>
    <row r="15" spans="1:27" x14ac:dyDescent="0.2">
      <c r="B15" s="238" t="s">
        <v>417</v>
      </c>
      <c r="E15" s="239">
        <f>IRR(C22:C107,-0.1)</f>
        <v>1.1552734121993202E-2</v>
      </c>
      <c r="F15" s="225" t="s">
        <v>418</v>
      </c>
    </row>
    <row r="17" spans="1:15" x14ac:dyDescent="0.2">
      <c r="B17" s="225" t="s">
        <v>419</v>
      </c>
      <c r="E17" s="240">
        <f>+E15*AA9</f>
        <v>0.13863280946391843</v>
      </c>
      <c r="F17" s="225" t="s">
        <v>420</v>
      </c>
    </row>
    <row r="18" spans="1:15" x14ac:dyDescent="0.2">
      <c r="E18" s="240"/>
    </row>
    <row r="19" spans="1:15" x14ac:dyDescent="0.2">
      <c r="B19" s="224" t="s">
        <v>404</v>
      </c>
      <c r="C19" s="431" t="s">
        <v>427</v>
      </c>
      <c r="D19" s="432"/>
      <c r="E19" s="433"/>
    </row>
    <row r="21" spans="1:15" ht="25.5" x14ac:dyDescent="0.2">
      <c r="A21" s="230" t="s">
        <v>421</v>
      </c>
      <c r="B21" s="230" t="s">
        <v>13</v>
      </c>
      <c r="C21" s="230" t="s">
        <v>422</v>
      </c>
      <c r="D21" s="230" t="s">
        <v>423</v>
      </c>
      <c r="E21" s="230" t="s">
        <v>4</v>
      </c>
      <c r="F21" s="230" t="s">
        <v>424</v>
      </c>
      <c r="G21" s="230" t="s">
        <v>425</v>
      </c>
      <c r="H21" s="241" t="s">
        <v>426</v>
      </c>
    </row>
    <row r="22" spans="1:15" hidden="1" x14ac:dyDescent="0.2">
      <c r="A22" s="242"/>
      <c r="B22" s="243"/>
      <c r="C22" s="244">
        <f>-C5</f>
        <v>-78500</v>
      </c>
      <c r="D22" s="244"/>
      <c r="E22" s="242"/>
      <c r="F22" s="242"/>
      <c r="G22" s="242"/>
      <c r="H22" s="242"/>
    </row>
    <row r="23" spans="1:15" x14ac:dyDescent="0.2">
      <c r="A23" s="242">
        <v>1</v>
      </c>
      <c r="B23" s="245">
        <f>IF(E8="",IF(E9="","",MIN(E8,E9)),MIN(E8,E9))</f>
        <v>43739</v>
      </c>
      <c r="C23" s="244">
        <v>5000</v>
      </c>
      <c r="D23" s="244">
        <v>0</v>
      </c>
      <c r="E23" s="246">
        <f>+H23*$E$15</f>
        <v>906.88962857646641</v>
      </c>
      <c r="F23" s="247">
        <f>+C23-E23-D23</f>
        <v>4093.1103714235337</v>
      </c>
      <c r="G23" s="247">
        <f>+H23-F23</f>
        <v>74406.889628576464</v>
      </c>
      <c r="H23" s="247">
        <f>+C5</f>
        <v>78500</v>
      </c>
      <c r="M23" s="248"/>
      <c r="N23" s="248"/>
      <c r="O23" s="248"/>
    </row>
    <row r="24" spans="1:15" x14ac:dyDescent="0.2">
      <c r="A24" s="242">
        <f t="shared" ref="A24:A87" si="0">IF(A23="","",IF((A23+1)&gt;($B$8+$B$9),"",A23+1))</f>
        <v>2</v>
      </c>
      <c r="B24" s="249">
        <f>IF(A24="","",IF(B23="","",EDATE(B23,$AA$8)))</f>
        <v>43770</v>
      </c>
      <c r="C24" s="244">
        <v>2060.54</v>
      </c>
      <c r="D24" s="244">
        <v>0</v>
      </c>
      <c r="E24" s="246">
        <f t="shared" ref="E24:E87" si="1">IF(A24="","",+H24*$E$15)</f>
        <v>859.60301272343747</v>
      </c>
      <c r="F24" s="247">
        <f>+C24-E24-D24</f>
        <v>1200.9369872765624</v>
      </c>
      <c r="G24" s="247">
        <f>IF(A24="","",+H24-F24)</f>
        <v>73205.952641299897</v>
      </c>
      <c r="H24" s="247">
        <f>IF(A24="","",+G23)</f>
        <v>74406.889628576464</v>
      </c>
      <c r="M24" s="248"/>
      <c r="N24" s="248"/>
      <c r="O24" s="248"/>
    </row>
    <row r="25" spans="1:15" x14ac:dyDescent="0.2">
      <c r="A25" s="242">
        <f t="shared" si="0"/>
        <v>3</v>
      </c>
      <c r="B25" s="249">
        <f t="shared" ref="B25:B88" si="2">IF(A25="","",IF(B24="","",EDATE(B24,$AA$8)))</f>
        <v>43800</v>
      </c>
      <c r="C25" s="244">
        <v>2060.54</v>
      </c>
      <c r="D25" s="244">
        <v>0</v>
      </c>
      <c r="E25" s="246">
        <f t="shared" si="1"/>
        <v>845.72890701216375</v>
      </c>
      <c r="F25" s="247">
        <f>+C25-E25-D25</f>
        <v>1214.8110929878362</v>
      </c>
      <c r="G25" s="247">
        <f>IF(A25="","",+H25-F25)</f>
        <v>71991.141548312065</v>
      </c>
      <c r="H25" s="247">
        <f t="shared" ref="H25:H88" si="3">IF(A25="","",+G24)</f>
        <v>73205.952641299897</v>
      </c>
      <c r="M25" s="248"/>
      <c r="N25" s="248"/>
      <c r="O25" s="248"/>
    </row>
    <row r="26" spans="1:15" x14ac:dyDescent="0.2">
      <c r="A26" s="242">
        <f t="shared" si="0"/>
        <v>4</v>
      </c>
      <c r="B26" s="249">
        <f t="shared" si="2"/>
        <v>43831</v>
      </c>
      <c r="C26" s="244">
        <v>2060.54</v>
      </c>
      <c r="D26" s="244">
        <v>0</v>
      </c>
      <c r="E26" s="246">
        <f t="shared" si="1"/>
        <v>831.69451744642731</v>
      </c>
      <c r="F26" s="247">
        <f t="shared" ref="F26:F70" si="4">+C26-E26-D26</f>
        <v>1228.8454825535728</v>
      </c>
      <c r="G26" s="247">
        <f t="shared" ref="G26:G89" si="5">IF(A26="","",+H26-F26)</f>
        <v>70762.296065758492</v>
      </c>
      <c r="H26" s="247">
        <f t="shared" si="3"/>
        <v>71991.141548312065</v>
      </c>
    </row>
    <row r="27" spans="1:15" x14ac:dyDescent="0.2">
      <c r="A27" s="242">
        <f t="shared" si="0"/>
        <v>5</v>
      </c>
      <c r="B27" s="249">
        <f t="shared" si="2"/>
        <v>43862</v>
      </c>
      <c r="C27" s="244">
        <v>2060.54</v>
      </c>
      <c r="D27" s="244">
        <v>0</v>
      </c>
      <c r="E27" s="246">
        <f t="shared" si="1"/>
        <v>817.49799230947349</v>
      </c>
      <c r="F27" s="247">
        <f t="shared" si="4"/>
        <v>1243.0420076905266</v>
      </c>
      <c r="G27" s="247">
        <f t="shared" si="5"/>
        <v>69519.254058067963</v>
      </c>
      <c r="H27" s="247">
        <f t="shared" si="3"/>
        <v>70762.296065758492</v>
      </c>
    </row>
    <row r="28" spans="1:15" x14ac:dyDescent="0.2">
      <c r="A28" s="242">
        <f t="shared" si="0"/>
        <v>6</v>
      </c>
      <c r="B28" s="249">
        <f t="shared" si="2"/>
        <v>43891</v>
      </c>
      <c r="C28" s="244">
        <v>2060.54</v>
      </c>
      <c r="D28" s="244">
        <v>0</v>
      </c>
      <c r="E28" s="246">
        <f t="shared" si="1"/>
        <v>803.13745849215616</v>
      </c>
      <c r="F28" s="247">
        <f t="shared" si="4"/>
        <v>1257.4025415078438</v>
      </c>
      <c r="G28" s="247">
        <f t="shared" si="5"/>
        <v>68261.851516560113</v>
      </c>
      <c r="H28" s="247">
        <f t="shared" si="3"/>
        <v>69519.254058067963</v>
      </c>
    </row>
    <row r="29" spans="1:15" x14ac:dyDescent="0.2">
      <c r="A29" s="242">
        <f t="shared" si="0"/>
        <v>7</v>
      </c>
      <c r="B29" s="249">
        <f t="shared" si="2"/>
        <v>43922</v>
      </c>
      <c r="C29" s="244">
        <v>2060.54</v>
      </c>
      <c r="D29" s="244">
        <v>0</v>
      </c>
      <c r="E29" s="246">
        <f t="shared" si="1"/>
        <v>788.61102124579747</v>
      </c>
      <c r="F29" s="247">
        <f t="shared" si="4"/>
        <v>1271.9289787542025</v>
      </c>
      <c r="G29" s="247">
        <f t="shared" si="5"/>
        <v>66989.922537805905</v>
      </c>
      <c r="H29" s="247">
        <f t="shared" si="3"/>
        <v>68261.851516560113</v>
      </c>
    </row>
    <row r="30" spans="1:15" x14ac:dyDescent="0.2">
      <c r="A30" s="242">
        <f t="shared" si="0"/>
        <v>8</v>
      </c>
      <c r="B30" s="249">
        <f t="shared" si="2"/>
        <v>43952</v>
      </c>
      <c r="C30" s="244">
        <v>2060.54</v>
      </c>
      <c r="D30" s="244">
        <v>0</v>
      </c>
      <c r="E30" s="246">
        <f t="shared" si="1"/>
        <v>773.91676393219177</v>
      </c>
      <c r="F30" s="247">
        <f t="shared" si="4"/>
        <v>1286.6232360678082</v>
      </c>
      <c r="G30" s="247">
        <f t="shared" si="5"/>
        <v>65703.299301738094</v>
      </c>
      <c r="H30" s="247">
        <f t="shared" si="3"/>
        <v>66989.922537805905</v>
      </c>
    </row>
    <row r="31" spans="1:15" x14ac:dyDescent="0.2">
      <c r="A31" s="242">
        <f t="shared" si="0"/>
        <v>9</v>
      </c>
      <c r="B31" s="249">
        <f t="shared" si="2"/>
        <v>43983</v>
      </c>
      <c r="C31" s="244">
        <v>2060.54</v>
      </c>
      <c r="D31" s="244">
        <v>0</v>
      </c>
      <c r="E31" s="246">
        <f t="shared" si="1"/>
        <v>759.05274777072179</v>
      </c>
      <c r="F31" s="247">
        <f t="shared" si="4"/>
        <v>1301.4872522292781</v>
      </c>
      <c r="G31" s="247">
        <f t="shared" si="5"/>
        <v>64401.812049508815</v>
      </c>
      <c r="H31" s="247">
        <f t="shared" si="3"/>
        <v>65703.299301738094</v>
      </c>
    </row>
    <row r="32" spans="1:15" x14ac:dyDescent="0.2">
      <c r="A32" s="242">
        <f t="shared" si="0"/>
        <v>10</v>
      </c>
      <c r="B32" s="249">
        <f t="shared" si="2"/>
        <v>44013</v>
      </c>
      <c r="C32" s="244">
        <v>2060.54</v>
      </c>
      <c r="D32" s="244">
        <v>0</v>
      </c>
      <c r="E32" s="246">
        <f t="shared" si="1"/>
        <v>744.01701158255344</v>
      </c>
      <c r="F32" s="247">
        <f t="shared" si="4"/>
        <v>1316.5229884174464</v>
      </c>
      <c r="G32" s="247">
        <f t="shared" si="5"/>
        <v>63085.289061091367</v>
      </c>
      <c r="H32" s="247">
        <f t="shared" si="3"/>
        <v>64401.812049508815</v>
      </c>
    </row>
    <row r="33" spans="1:8" x14ac:dyDescent="0.2">
      <c r="A33" s="242">
        <f t="shared" si="0"/>
        <v>11</v>
      </c>
      <c r="B33" s="249">
        <f t="shared" si="2"/>
        <v>44044</v>
      </c>
      <c r="C33" s="244">
        <v>2060.54</v>
      </c>
      <c r="D33" s="244">
        <v>0</v>
      </c>
      <c r="E33" s="246">
        <f t="shared" si="1"/>
        <v>728.80757153187471</v>
      </c>
      <c r="F33" s="247">
        <f t="shared" si="4"/>
        <v>1331.7324284681254</v>
      </c>
      <c r="G33" s="247">
        <f t="shared" si="5"/>
        <v>61753.556632623244</v>
      </c>
      <c r="H33" s="247">
        <f t="shared" si="3"/>
        <v>63085.289061091367</v>
      </c>
    </row>
    <row r="34" spans="1:8" x14ac:dyDescent="0.2">
      <c r="A34" s="242">
        <f t="shared" si="0"/>
        <v>12</v>
      </c>
      <c r="B34" s="249">
        <f t="shared" si="2"/>
        <v>44075</v>
      </c>
      <c r="C34" s="244">
        <v>2060.54</v>
      </c>
      <c r="D34" s="244">
        <v>0</v>
      </c>
      <c r="E34" s="246">
        <f t="shared" si="1"/>
        <v>713.42242086414615</v>
      </c>
      <c r="F34" s="247">
        <f t="shared" si="4"/>
        <v>1347.1175791358537</v>
      </c>
      <c r="G34" s="247">
        <f t="shared" si="5"/>
        <v>60406.439053487389</v>
      </c>
      <c r="H34" s="247">
        <f t="shared" si="3"/>
        <v>61753.556632623244</v>
      </c>
    </row>
    <row r="35" spans="1:8" x14ac:dyDescent="0.2">
      <c r="A35" s="242">
        <f t="shared" si="0"/>
        <v>13</v>
      </c>
      <c r="B35" s="249">
        <f t="shared" si="2"/>
        <v>44105</v>
      </c>
      <c r="C35" s="244">
        <v>2060.54</v>
      </c>
      <c r="D35" s="244">
        <v>0</v>
      </c>
      <c r="E35" s="246">
        <f t="shared" si="1"/>
        <v>697.8595296413265</v>
      </c>
      <c r="F35" s="247">
        <f t="shared" si="4"/>
        <v>1362.6804703586736</v>
      </c>
      <c r="G35" s="247">
        <f t="shared" si="5"/>
        <v>59043.758583128714</v>
      </c>
      <c r="H35" s="247">
        <f t="shared" si="3"/>
        <v>60406.439053487389</v>
      </c>
    </row>
    <row r="36" spans="1:8" x14ac:dyDescent="0.2">
      <c r="A36" s="242">
        <f t="shared" si="0"/>
        <v>14</v>
      </c>
      <c r="B36" s="249">
        <f t="shared" si="2"/>
        <v>44136</v>
      </c>
      <c r="C36" s="244">
        <v>2060.54</v>
      </c>
      <c r="D36" s="244">
        <v>0</v>
      </c>
      <c r="E36" s="246">
        <f t="shared" si="1"/>
        <v>682.11684447404014</v>
      </c>
      <c r="F36" s="247">
        <f t="shared" si="4"/>
        <v>1378.4231555259598</v>
      </c>
      <c r="G36" s="247">
        <f t="shared" si="5"/>
        <v>57665.335427602753</v>
      </c>
      <c r="H36" s="247">
        <f t="shared" si="3"/>
        <v>59043.758583128714</v>
      </c>
    </row>
    <row r="37" spans="1:8" x14ac:dyDescent="0.2">
      <c r="A37" s="242">
        <f t="shared" si="0"/>
        <v>15</v>
      </c>
      <c r="B37" s="249">
        <f t="shared" si="2"/>
        <v>44166</v>
      </c>
      <c r="C37" s="244">
        <v>2060.54</v>
      </c>
      <c r="D37" s="244">
        <v>0</v>
      </c>
      <c r="E37" s="246">
        <f t="shared" si="1"/>
        <v>666.19228825064977</v>
      </c>
      <c r="F37" s="247">
        <f t="shared" si="4"/>
        <v>1394.3477117493503</v>
      </c>
      <c r="G37" s="247">
        <f t="shared" si="5"/>
        <v>56270.9877158534</v>
      </c>
      <c r="H37" s="247">
        <f t="shared" si="3"/>
        <v>57665.335427602753</v>
      </c>
    </row>
    <row r="38" spans="1:8" x14ac:dyDescent="0.2">
      <c r="A38" s="242">
        <f t="shared" si="0"/>
        <v>16</v>
      </c>
      <c r="B38" s="249">
        <f t="shared" si="2"/>
        <v>44197</v>
      </c>
      <c r="C38" s="244">
        <v>2060.54</v>
      </c>
      <c r="D38" s="244">
        <v>0</v>
      </c>
      <c r="E38" s="246">
        <f t="shared" si="1"/>
        <v>650.08375986319993</v>
      </c>
      <c r="F38" s="247">
        <f t="shared" si="4"/>
        <v>1410.4562401368</v>
      </c>
      <c r="G38" s="247">
        <f t="shared" si="5"/>
        <v>54860.531475716598</v>
      </c>
      <c r="H38" s="247">
        <f t="shared" si="3"/>
        <v>56270.9877158534</v>
      </c>
    </row>
    <row r="39" spans="1:8" x14ac:dyDescent="0.2">
      <c r="A39" s="242">
        <f t="shared" si="0"/>
        <v>17</v>
      </c>
      <c r="B39" s="249">
        <f t="shared" si="2"/>
        <v>44228</v>
      </c>
      <c r="C39" s="244">
        <v>2060.54</v>
      </c>
      <c r="D39" s="244">
        <v>0</v>
      </c>
      <c r="E39" s="246">
        <f t="shared" si="1"/>
        <v>633.7891339301932</v>
      </c>
      <c r="F39" s="247">
        <f t="shared" si="4"/>
        <v>1426.7508660698068</v>
      </c>
      <c r="G39" s="247">
        <f t="shared" si="5"/>
        <v>53433.78060964679</v>
      </c>
      <c r="H39" s="247">
        <f t="shared" si="3"/>
        <v>54860.531475716598</v>
      </c>
    </row>
    <row r="40" spans="1:8" x14ac:dyDescent="0.2">
      <c r="A40" s="242">
        <f t="shared" si="0"/>
        <v>18</v>
      </c>
      <c r="B40" s="249">
        <f t="shared" si="2"/>
        <v>44256</v>
      </c>
      <c r="C40" s="244">
        <v>2060.54</v>
      </c>
      <c r="D40" s="244">
        <v>0</v>
      </c>
      <c r="E40" s="246">
        <f t="shared" si="1"/>
        <v>617.30626051616525</v>
      </c>
      <c r="F40" s="247">
        <f t="shared" si="4"/>
        <v>1443.2337394838346</v>
      </c>
      <c r="G40" s="247">
        <f t="shared" si="5"/>
        <v>51990.546870162958</v>
      </c>
      <c r="H40" s="247">
        <f t="shared" si="3"/>
        <v>53433.78060964679</v>
      </c>
    </row>
    <row r="41" spans="1:8" x14ac:dyDescent="0.2">
      <c r="A41" s="242">
        <f t="shared" si="0"/>
        <v>19</v>
      </c>
      <c r="B41" s="249">
        <f t="shared" si="2"/>
        <v>44287</v>
      </c>
      <c r="C41" s="244">
        <v>2060.54</v>
      </c>
      <c r="D41" s="244">
        <v>0</v>
      </c>
      <c r="E41" s="246">
        <f t="shared" si="1"/>
        <v>600.63296484801845</v>
      </c>
      <c r="F41" s="247">
        <f t="shared" si="4"/>
        <v>1459.9070351519815</v>
      </c>
      <c r="G41" s="247">
        <f t="shared" si="5"/>
        <v>50530.639835010974</v>
      </c>
      <c r="H41" s="247">
        <f t="shared" si="3"/>
        <v>51990.546870162958</v>
      </c>
    </row>
    <row r="42" spans="1:8" x14ac:dyDescent="0.2">
      <c r="A42" s="242">
        <f t="shared" si="0"/>
        <v>20</v>
      </c>
      <c r="B42" s="249">
        <f t="shared" si="2"/>
        <v>44317</v>
      </c>
      <c r="C42" s="244">
        <v>2060.54</v>
      </c>
      <c r="D42" s="244">
        <v>0</v>
      </c>
      <c r="E42" s="246">
        <f t="shared" si="1"/>
        <v>583.76704702808024</v>
      </c>
      <c r="F42" s="247">
        <f t="shared" si="4"/>
        <v>1476.7729529719197</v>
      </c>
      <c r="G42" s="247">
        <f t="shared" si="5"/>
        <v>49053.866882039052</v>
      </c>
      <c r="H42" s="247">
        <f t="shared" si="3"/>
        <v>50530.639835010974</v>
      </c>
    </row>
    <row r="43" spans="1:8" x14ac:dyDescent="0.2">
      <c r="A43" s="242">
        <f t="shared" si="0"/>
        <v>21</v>
      </c>
      <c r="B43" s="249">
        <f t="shared" si="2"/>
        <v>44348</v>
      </c>
      <c r="C43" s="244">
        <v>2060.54</v>
      </c>
      <c r="D43" s="244">
        <v>0</v>
      </c>
      <c r="E43" s="246">
        <f t="shared" si="1"/>
        <v>566.7062817438449</v>
      </c>
      <c r="F43" s="247">
        <f t="shared" si="4"/>
        <v>1493.833718256155</v>
      </c>
      <c r="G43" s="247">
        <f t="shared" si="5"/>
        <v>47560.0331637829</v>
      </c>
      <c r="H43" s="247">
        <f t="shared" si="3"/>
        <v>49053.866882039052</v>
      </c>
    </row>
    <row r="44" spans="1:8" x14ac:dyDescent="0.2">
      <c r="A44" s="242">
        <f t="shared" si="0"/>
        <v>22</v>
      </c>
      <c r="B44" s="249">
        <f t="shared" si="2"/>
        <v>44378</v>
      </c>
      <c r="C44" s="244">
        <v>2060.54</v>
      </c>
      <c r="D44" s="244">
        <v>0</v>
      </c>
      <c r="E44" s="246">
        <f t="shared" si="1"/>
        <v>549.448417974363</v>
      </c>
      <c r="F44" s="247">
        <f t="shared" si="4"/>
        <v>1511.0915820256369</v>
      </c>
      <c r="G44" s="247">
        <f t="shared" si="5"/>
        <v>46048.941581757266</v>
      </c>
      <c r="H44" s="247">
        <f t="shared" si="3"/>
        <v>47560.0331637829</v>
      </c>
    </row>
    <row r="45" spans="1:8" x14ac:dyDescent="0.2">
      <c r="A45" s="242">
        <f t="shared" si="0"/>
        <v>23</v>
      </c>
      <c r="B45" s="249">
        <f t="shared" si="2"/>
        <v>44409</v>
      </c>
      <c r="C45" s="244">
        <v>2060.54</v>
      </c>
      <c r="D45" s="244">
        <v>0</v>
      </c>
      <c r="E45" s="246">
        <f t="shared" si="1"/>
        <v>531.99117869323879</v>
      </c>
      <c r="F45" s="247">
        <f t="shared" si="4"/>
        <v>1528.5488213067611</v>
      </c>
      <c r="G45" s="247">
        <f t="shared" si="5"/>
        <v>44520.392760450508</v>
      </c>
      <c r="H45" s="247">
        <f t="shared" si="3"/>
        <v>46048.941581757266</v>
      </c>
    </row>
    <row r="46" spans="1:8" x14ac:dyDescent="0.2">
      <c r="A46" s="242">
        <f t="shared" si="0"/>
        <v>24</v>
      </c>
      <c r="B46" s="249">
        <f t="shared" si="2"/>
        <v>44440</v>
      </c>
      <c r="C46" s="244">
        <v>2060.54</v>
      </c>
      <c r="D46" s="244">
        <v>0</v>
      </c>
      <c r="E46" s="246">
        <f t="shared" si="1"/>
        <v>514.33226056819569</v>
      </c>
      <c r="F46" s="247">
        <f t="shared" si="4"/>
        <v>1546.2077394318044</v>
      </c>
      <c r="G46" s="247">
        <f t="shared" si="5"/>
        <v>42974.185021018704</v>
      </c>
      <c r="H46" s="247">
        <f t="shared" si="3"/>
        <v>44520.392760450508</v>
      </c>
    </row>
    <row r="47" spans="1:8" x14ac:dyDescent="0.2">
      <c r="A47" s="242">
        <f t="shared" si="0"/>
        <v>25</v>
      </c>
      <c r="B47" s="249">
        <f t="shared" si="2"/>
        <v>44470</v>
      </c>
      <c r="C47" s="244">
        <v>2060.54</v>
      </c>
      <c r="D47" s="244">
        <v>0</v>
      </c>
      <c r="E47" s="246">
        <f t="shared" si="1"/>
        <v>496.46933365717194</v>
      </c>
      <c r="F47" s="247">
        <f t="shared" si="4"/>
        <v>1564.070666342828</v>
      </c>
      <c r="G47" s="247">
        <f t="shared" si="5"/>
        <v>41410.114354675876</v>
      </c>
      <c r="H47" s="247">
        <f t="shared" si="3"/>
        <v>42974.185021018704</v>
      </c>
    </row>
    <row r="48" spans="1:8" x14ac:dyDescent="0.2">
      <c r="A48" s="242">
        <f t="shared" si="0"/>
        <v>26</v>
      </c>
      <c r="B48" s="249">
        <f t="shared" si="2"/>
        <v>44501</v>
      </c>
      <c r="C48" s="244">
        <v>2060.54</v>
      </c>
      <c r="D48" s="244">
        <v>0</v>
      </c>
      <c r="E48" s="246">
        <f t="shared" si="1"/>
        <v>478.4000411009045</v>
      </c>
      <c r="F48" s="247">
        <f t="shared" si="4"/>
        <v>1582.1399588990955</v>
      </c>
      <c r="G48" s="247">
        <f t="shared" si="5"/>
        <v>39827.974395776779</v>
      </c>
      <c r="H48" s="247">
        <f t="shared" si="3"/>
        <v>41410.114354675876</v>
      </c>
    </row>
    <row r="49" spans="1:8" x14ac:dyDescent="0.2">
      <c r="A49" s="242">
        <f t="shared" si="0"/>
        <v>27</v>
      </c>
      <c r="B49" s="249">
        <f t="shared" si="2"/>
        <v>44531</v>
      </c>
      <c r="C49" s="244">
        <v>2060.54</v>
      </c>
      <c r="D49" s="244">
        <v>0</v>
      </c>
      <c r="E49" s="246">
        <f t="shared" si="1"/>
        <v>460.12199881196199</v>
      </c>
      <c r="F49" s="247">
        <f t="shared" si="4"/>
        <v>1600.418001188038</v>
      </c>
      <c r="G49" s="247">
        <f t="shared" si="5"/>
        <v>38227.556394588741</v>
      </c>
      <c r="H49" s="247">
        <f t="shared" si="3"/>
        <v>39827.974395776779</v>
      </c>
    </row>
    <row r="50" spans="1:8" x14ac:dyDescent="0.2">
      <c r="A50" s="242">
        <f t="shared" si="0"/>
        <v>28</v>
      </c>
      <c r="B50" s="249">
        <f t="shared" si="2"/>
        <v>44562</v>
      </c>
      <c r="C50" s="244">
        <v>2060.54</v>
      </c>
      <c r="D50" s="244">
        <v>0</v>
      </c>
      <c r="E50" s="246">
        <f t="shared" si="1"/>
        <v>441.6327951601848</v>
      </c>
      <c r="F50" s="247">
        <f t="shared" si="4"/>
        <v>1618.9072048398152</v>
      </c>
      <c r="G50" s="247">
        <f t="shared" si="5"/>
        <v>36608.649189748925</v>
      </c>
      <c r="H50" s="247">
        <f t="shared" si="3"/>
        <v>38227.556394588741</v>
      </c>
    </row>
    <row r="51" spans="1:8" x14ac:dyDescent="0.2">
      <c r="A51" s="242">
        <f t="shared" si="0"/>
        <v>29</v>
      </c>
      <c r="B51" s="249">
        <f t="shared" si="2"/>
        <v>44593</v>
      </c>
      <c r="C51" s="244">
        <v>2060.54</v>
      </c>
      <c r="D51" s="244">
        <v>0</v>
      </c>
      <c r="E51" s="246">
        <f t="shared" si="1"/>
        <v>422.92999065449118</v>
      </c>
      <c r="F51" s="247">
        <f t="shared" si="4"/>
        <v>1637.6100093455088</v>
      </c>
      <c r="G51" s="247">
        <f t="shared" si="5"/>
        <v>34971.039180403415</v>
      </c>
      <c r="H51" s="247">
        <f t="shared" si="3"/>
        <v>36608.649189748925</v>
      </c>
    </row>
    <row r="52" spans="1:8" x14ac:dyDescent="0.2">
      <c r="A52" s="242">
        <f t="shared" si="0"/>
        <v>30</v>
      </c>
      <c r="B52" s="249">
        <f t="shared" si="2"/>
        <v>44621</v>
      </c>
      <c r="C52" s="244">
        <v>2060.54</v>
      </c>
      <c r="D52" s="244">
        <v>0</v>
      </c>
      <c r="E52" s="246">
        <f t="shared" si="1"/>
        <v>404.01111762100771</v>
      </c>
      <c r="F52" s="247">
        <f t="shared" si="4"/>
        <v>1656.5288823789922</v>
      </c>
      <c r="G52" s="247">
        <f t="shared" si="5"/>
        <v>33314.510298024426</v>
      </c>
      <c r="H52" s="247">
        <f t="shared" si="3"/>
        <v>34971.039180403415</v>
      </c>
    </row>
    <row r="53" spans="1:8" x14ac:dyDescent="0.2">
      <c r="A53" s="242">
        <f t="shared" si="0"/>
        <v>31</v>
      </c>
      <c r="B53" s="249">
        <f t="shared" si="2"/>
        <v>44652</v>
      </c>
      <c r="C53" s="244">
        <v>2060.54</v>
      </c>
      <c r="D53" s="244">
        <v>0</v>
      </c>
      <c r="E53" s="246">
        <f t="shared" si="1"/>
        <v>384.8736798774807</v>
      </c>
      <c r="F53" s="247">
        <f t="shared" si="4"/>
        <v>1675.6663201225192</v>
      </c>
      <c r="G53" s="247">
        <f t="shared" si="5"/>
        <v>31638.843977901906</v>
      </c>
      <c r="H53" s="247">
        <f t="shared" si="3"/>
        <v>33314.510298024426</v>
      </c>
    </row>
    <row r="54" spans="1:8" x14ac:dyDescent="0.2">
      <c r="A54" s="242">
        <f t="shared" si="0"/>
        <v>32</v>
      </c>
      <c r="B54" s="249">
        <f t="shared" si="2"/>
        <v>44682</v>
      </c>
      <c r="C54" s="244">
        <v>2060.54</v>
      </c>
      <c r="D54" s="244">
        <v>0</v>
      </c>
      <c r="E54" s="246">
        <f t="shared" si="1"/>
        <v>365.51515240392649</v>
      </c>
      <c r="F54" s="247">
        <f t="shared" si="4"/>
        <v>1695.0248475960734</v>
      </c>
      <c r="G54" s="247">
        <f t="shared" si="5"/>
        <v>29943.819130305834</v>
      </c>
      <c r="H54" s="247">
        <f t="shared" si="3"/>
        <v>31638.843977901906</v>
      </c>
    </row>
    <row r="55" spans="1:8" x14ac:dyDescent="0.2">
      <c r="A55" s="242">
        <f t="shared" si="0"/>
        <v>33</v>
      </c>
      <c r="B55" s="249">
        <f t="shared" si="2"/>
        <v>44713</v>
      </c>
      <c r="C55" s="244">
        <v>2060.54</v>
      </c>
      <c r="D55" s="244">
        <v>0</v>
      </c>
      <c r="E55" s="246">
        <f t="shared" si="1"/>
        <v>345.93298100947703</v>
      </c>
      <c r="F55" s="247">
        <f t="shared" si="4"/>
        <v>1714.6070189905229</v>
      </c>
      <c r="G55" s="247">
        <f t="shared" si="5"/>
        <v>28229.212111315312</v>
      </c>
      <c r="H55" s="247">
        <f t="shared" si="3"/>
        <v>29943.819130305834</v>
      </c>
    </row>
    <row r="56" spans="1:8" x14ac:dyDescent="0.2">
      <c r="A56" s="242">
        <f t="shared" si="0"/>
        <v>34</v>
      </c>
      <c r="B56" s="249">
        <f t="shared" si="2"/>
        <v>44743</v>
      </c>
      <c r="C56" s="244">
        <v>2060.54</v>
      </c>
      <c r="D56" s="244">
        <v>0</v>
      </c>
      <c r="E56" s="246">
        <f t="shared" si="1"/>
        <v>326.12458199537616</v>
      </c>
      <c r="F56" s="247">
        <f t="shared" si="4"/>
        <v>1734.4154180046239</v>
      </c>
      <c r="G56" s="247">
        <f t="shared" si="5"/>
        <v>26494.796693310687</v>
      </c>
      <c r="H56" s="247">
        <f t="shared" si="3"/>
        <v>28229.212111315312</v>
      </c>
    </row>
    <row r="57" spans="1:8" x14ac:dyDescent="0.2">
      <c r="A57" s="242">
        <f t="shared" si="0"/>
        <v>35</v>
      </c>
      <c r="B57" s="249">
        <f t="shared" si="2"/>
        <v>44774</v>
      </c>
      <c r="C57" s="244">
        <v>2060.54</v>
      </c>
      <c r="D57" s="244">
        <v>0</v>
      </c>
      <c r="E57" s="246">
        <f t="shared" si="1"/>
        <v>306.08734181408306</v>
      </c>
      <c r="F57" s="247">
        <f t="shared" si="4"/>
        <v>1754.4526581859168</v>
      </c>
      <c r="G57" s="247">
        <f t="shared" si="5"/>
        <v>24740.34403512477</v>
      </c>
      <c r="H57" s="247">
        <f t="shared" si="3"/>
        <v>26494.796693310687</v>
      </c>
    </row>
    <row r="58" spans="1:8" x14ac:dyDescent="0.2">
      <c r="A58" s="242">
        <f t="shared" si="0"/>
        <v>36</v>
      </c>
      <c r="B58" s="249">
        <f t="shared" si="2"/>
        <v>44805</v>
      </c>
      <c r="C58" s="244">
        <v>2060.54</v>
      </c>
      <c r="D58" s="244">
        <v>0</v>
      </c>
      <c r="E58" s="246">
        <f t="shared" si="1"/>
        <v>285.81861672443694</v>
      </c>
      <c r="F58" s="247">
        <f t="shared" si="4"/>
        <v>1774.7213832755631</v>
      </c>
      <c r="G58" s="247">
        <f t="shared" si="5"/>
        <v>22965.622651849208</v>
      </c>
      <c r="H58" s="247">
        <f t="shared" si="3"/>
        <v>24740.34403512477</v>
      </c>
    </row>
    <row r="59" spans="1:8" x14ac:dyDescent="0.2">
      <c r="A59" s="242">
        <f t="shared" si="0"/>
        <v>37</v>
      </c>
      <c r="B59" s="249">
        <f t="shared" si="2"/>
        <v>44835</v>
      </c>
      <c r="C59" s="244">
        <v>2060.54</v>
      </c>
      <c r="D59" s="244">
        <v>0</v>
      </c>
      <c r="E59" s="246">
        <f t="shared" si="1"/>
        <v>265.31573244283834</v>
      </c>
      <c r="F59" s="247">
        <f t="shared" si="4"/>
        <v>1795.2242675571615</v>
      </c>
      <c r="G59" s="247">
        <f t="shared" si="5"/>
        <v>21170.398384292046</v>
      </c>
      <c r="H59" s="247">
        <f t="shared" si="3"/>
        <v>22965.622651849208</v>
      </c>
    </row>
    <row r="60" spans="1:8" x14ac:dyDescent="0.2">
      <c r="A60" s="242">
        <f t="shared" si="0"/>
        <v>38</v>
      </c>
      <c r="B60" s="249">
        <f t="shared" si="2"/>
        <v>44866</v>
      </c>
      <c r="C60" s="244">
        <v>2060.54</v>
      </c>
      <c r="D60" s="244">
        <v>0</v>
      </c>
      <c r="E60" s="246">
        <f t="shared" si="1"/>
        <v>244.57598379040047</v>
      </c>
      <c r="F60" s="247">
        <f t="shared" si="4"/>
        <v>1815.9640162095995</v>
      </c>
      <c r="G60" s="247">
        <f t="shared" si="5"/>
        <v>19354.434368082446</v>
      </c>
      <c r="H60" s="247">
        <f t="shared" si="3"/>
        <v>21170.398384292046</v>
      </c>
    </row>
    <row r="61" spans="1:8" x14ac:dyDescent="0.2">
      <c r="A61" s="242">
        <f t="shared" si="0"/>
        <v>39</v>
      </c>
      <c r="B61" s="249">
        <f t="shared" si="2"/>
        <v>44896</v>
      </c>
      <c r="C61" s="244">
        <v>2060.54</v>
      </c>
      <c r="D61" s="244">
        <v>0</v>
      </c>
      <c r="E61" s="246">
        <f t="shared" si="1"/>
        <v>223.59663433602401</v>
      </c>
      <c r="F61" s="247">
        <f t="shared" si="4"/>
        <v>1836.943365663976</v>
      </c>
      <c r="G61" s="247">
        <f t="shared" si="5"/>
        <v>17517.491002418468</v>
      </c>
      <c r="H61" s="247">
        <f t="shared" si="3"/>
        <v>19354.434368082446</v>
      </c>
    </row>
    <row r="62" spans="1:8" x14ac:dyDescent="0.2">
      <c r="A62" s="242">
        <f t="shared" si="0"/>
        <v>40</v>
      </c>
      <c r="B62" s="249">
        <f t="shared" si="2"/>
        <v>44927</v>
      </c>
      <c r="C62" s="244">
        <v>2060.54</v>
      </c>
      <c r="D62" s="244">
        <v>0</v>
      </c>
      <c r="E62" s="246">
        <f t="shared" si="1"/>
        <v>202.37491603534875</v>
      </c>
      <c r="F62" s="247">
        <f t="shared" si="4"/>
        <v>1858.1650839646513</v>
      </c>
      <c r="G62" s="247">
        <f t="shared" si="5"/>
        <v>15659.325918453816</v>
      </c>
      <c r="H62" s="247">
        <f t="shared" si="3"/>
        <v>17517.491002418468</v>
      </c>
    </row>
    <row r="63" spans="1:8" x14ac:dyDescent="0.2">
      <c r="A63" s="242">
        <f t="shared" si="0"/>
        <v>41</v>
      </c>
      <c r="B63" s="249">
        <f t="shared" si="2"/>
        <v>44958</v>
      </c>
      <c r="C63" s="244">
        <v>2060.54</v>
      </c>
      <c r="D63" s="244">
        <v>0</v>
      </c>
      <c r="E63" s="246">
        <f t="shared" si="1"/>
        <v>180.90802886553394</v>
      </c>
      <c r="F63" s="247">
        <f t="shared" si="4"/>
        <v>1879.6319711344661</v>
      </c>
      <c r="G63" s="247">
        <f t="shared" si="5"/>
        <v>13779.693947319351</v>
      </c>
      <c r="H63" s="247">
        <f t="shared" si="3"/>
        <v>15659.325918453816</v>
      </c>
    </row>
    <row r="64" spans="1:8" x14ac:dyDescent="0.2">
      <c r="A64" s="242">
        <f t="shared" si="0"/>
        <v>42</v>
      </c>
      <c r="B64" s="249">
        <f t="shared" si="2"/>
        <v>44986</v>
      </c>
      <c r="C64" s="244">
        <v>2060.54</v>
      </c>
      <c r="D64" s="244">
        <v>0</v>
      </c>
      <c r="E64" s="246">
        <f t="shared" si="1"/>
        <v>159.19314045581947</v>
      </c>
      <c r="F64" s="247">
        <f t="shared" si="4"/>
        <v>1901.3468595441805</v>
      </c>
      <c r="G64" s="247">
        <f t="shared" si="5"/>
        <v>11878.34708777517</v>
      </c>
      <c r="H64" s="247">
        <f t="shared" si="3"/>
        <v>13779.693947319351</v>
      </c>
    </row>
    <row r="65" spans="1:8" x14ac:dyDescent="0.2">
      <c r="A65" s="242">
        <f t="shared" si="0"/>
        <v>43</v>
      </c>
      <c r="B65" s="249">
        <f t="shared" si="2"/>
        <v>45017</v>
      </c>
      <c r="C65" s="244">
        <v>2060.54</v>
      </c>
      <c r="D65" s="244">
        <v>0</v>
      </c>
      <c r="E65" s="246">
        <f t="shared" si="1"/>
        <v>137.22738571381879</v>
      </c>
      <c r="F65" s="247">
        <f t="shared" si="4"/>
        <v>1923.3126142861811</v>
      </c>
      <c r="G65" s="247">
        <f t="shared" si="5"/>
        <v>9955.0344734889877</v>
      </c>
      <c r="H65" s="247">
        <f t="shared" si="3"/>
        <v>11878.34708777517</v>
      </c>
    </row>
    <row r="66" spans="1:8" x14ac:dyDescent="0.2">
      <c r="A66" s="242">
        <f t="shared" si="0"/>
        <v>44</v>
      </c>
      <c r="B66" s="249">
        <f t="shared" si="2"/>
        <v>45047</v>
      </c>
      <c r="C66" s="244">
        <v>2060.54</v>
      </c>
      <c r="D66" s="244">
        <v>0</v>
      </c>
      <c r="E66" s="246">
        <f t="shared" si="1"/>
        <v>115.00786644749486</v>
      </c>
      <c r="F66" s="247">
        <f t="shared" si="4"/>
        <v>1945.532133552505</v>
      </c>
      <c r="G66" s="247">
        <f t="shared" si="5"/>
        <v>8009.5023399364827</v>
      </c>
      <c r="H66" s="247">
        <f t="shared" si="3"/>
        <v>9955.0344734889877</v>
      </c>
    </row>
    <row r="67" spans="1:8" x14ac:dyDescent="0.2">
      <c r="A67" s="242">
        <f t="shared" si="0"/>
        <v>45</v>
      </c>
      <c r="B67" s="249">
        <f t="shared" si="2"/>
        <v>45078</v>
      </c>
      <c r="C67" s="244">
        <v>2060.54</v>
      </c>
      <c r="D67" s="244">
        <v>0</v>
      </c>
      <c r="E67" s="246">
        <f t="shared" si="1"/>
        <v>92.531650982768596</v>
      </c>
      <c r="F67" s="247">
        <f t="shared" si="4"/>
        <v>1968.0083490172315</v>
      </c>
      <c r="G67" s="247">
        <f t="shared" si="5"/>
        <v>6041.4939909192508</v>
      </c>
      <c r="H67" s="247">
        <f t="shared" si="3"/>
        <v>8009.5023399364827</v>
      </c>
    </row>
    <row r="68" spans="1:8" x14ac:dyDescent="0.2">
      <c r="A68" s="242">
        <f t="shared" si="0"/>
        <v>46</v>
      </c>
      <c r="B68" s="249">
        <f t="shared" si="2"/>
        <v>45108</v>
      </c>
      <c r="C68" s="244">
        <v>2060.54</v>
      </c>
      <c r="D68" s="244">
        <v>0</v>
      </c>
      <c r="E68" s="246">
        <f t="shared" si="1"/>
        <v>69.795773776709723</v>
      </c>
      <c r="F68" s="247">
        <f t="shared" si="4"/>
        <v>1990.7442262232903</v>
      </c>
      <c r="G68" s="247">
        <f t="shared" si="5"/>
        <v>4050.7497646959605</v>
      </c>
      <c r="H68" s="247">
        <f t="shared" si="3"/>
        <v>6041.4939909192508</v>
      </c>
    </row>
    <row r="69" spans="1:8" x14ac:dyDescent="0.2">
      <c r="A69" s="242">
        <f t="shared" si="0"/>
        <v>47</v>
      </c>
      <c r="B69" s="249">
        <f t="shared" si="2"/>
        <v>45139</v>
      </c>
      <c r="C69" s="244">
        <v>2060.54</v>
      </c>
      <c r="D69" s="244">
        <v>0</v>
      </c>
      <c r="E69" s="246">
        <f t="shared" si="1"/>
        <v>46.79723502625896</v>
      </c>
      <c r="F69" s="247">
        <f t="shared" si="4"/>
        <v>2013.742764973741</v>
      </c>
      <c r="G69" s="247">
        <f t="shared" si="5"/>
        <v>2037.0069997222195</v>
      </c>
      <c r="H69" s="247">
        <f t="shared" si="3"/>
        <v>4050.7497646959605</v>
      </c>
    </row>
    <row r="70" spans="1:8" x14ac:dyDescent="0.2">
      <c r="A70" s="242">
        <f t="shared" si="0"/>
        <v>48</v>
      </c>
      <c r="B70" s="249">
        <f t="shared" si="2"/>
        <v>45170</v>
      </c>
      <c r="C70" s="244">
        <v>2060.54</v>
      </c>
      <c r="D70" s="244">
        <v>0</v>
      </c>
      <c r="E70" s="246">
        <f t="shared" si="1"/>
        <v>23.533000272429881</v>
      </c>
      <c r="F70" s="247">
        <f t="shared" si="4"/>
        <v>2037.00699972757</v>
      </c>
      <c r="G70" s="247">
        <f t="shared" si="5"/>
        <v>-5.3505573305301368E-9</v>
      </c>
      <c r="H70" s="247">
        <f t="shared" si="3"/>
        <v>2037.0069997222195</v>
      </c>
    </row>
    <row r="71" spans="1:8" x14ac:dyDescent="0.2">
      <c r="A71" s="242" t="str">
        <f t="shared" si="0"/>
        <v/>
      </c>
      <c r="B71" s="249" t="str">
        <f t="shared" si="2"/>
        <v/>
      </c>
      <c r="C71" s="244" t="str">
        <f t="shared" ref="C71:C107" si="6">IF(A71="","",IF($F$9="Final Payment",IF(A71=($B$8+$B$9),$C$9,$C$8),IF((A71-1)&lt;=$B$8,$C$8,"")))</f>
        <v/>
      </c>
      <c r="D71" s="244"/>
      <c r="E71" s="246" t="str">
        <f t="shared" si="1"/>
        <v/>
      </c>
      <c r="F71" s="247" t="str">
        <f t="shared" ref="F71:F107" si="7">IF(A71="","",+C71-E71)</f>
        <v/>
      </c>
      <c r="G71" s="247" t="str">
        <f t="shared" si="5"/>
        <v/>
      </c>
      <c r="H71" s="247" t="str">
        <f t="shared" si="3"/>
        <v/>
      </c>
    </row>
    <row r="72" spans="1:8" x14ac:dyDescent="0.2">
      <c r="A72" s="242" t="str">
        <f t="shared" si="0"/>
        <v/>
      </c>
      <c r="B72" s="249" t="str">
        <f t="shared" si="2"/>
        <v/>
      </c>
      <c r="C72" s="244" t="str">
        <f t="shared" si="6"/>
        <v/>
      </c>
      <c r="D72" s="244"/>
      <c r="E72" s="246" t="str">
        <f t="shared" si="1"/>
        <v/>
      </c>
      <c r="F72" s="247" t="str">
        <f t="shared" si="7"/>
        <v/>
      </c>
      <c r="G72" s="247" t="str">
        <f t="shared" si="5"/>
        <v/>
      </c>
      <c r="H72" s="247" t="str">
        <f t="shared" si="3"/>
        <v/>
      </c>
    </row>
    <row r="73" spans="1:8" x14ac:dyDescent="0.2">
      <c r="A73" s="242" t="str">
        <f t="shared" si="0"/>
        <v/>
      </c>
      <c r="B73" s="249" t="str">
        <f t="shared" si="2"/>
        <v/>
      </c>
      <c r="C73" s="244" t="str">
        <f t="shared" si="6"/>
        <v/>
      </c>
      <c r="D73" s="244"/>
      <c r="E73" s="246" t="str">
        <f t="shared" si="1"/>
        <v/>
      </c>
      <c r="F73" s="247" t="str">
        <f t="shared" si="7"/>
        <v/>
      </c>
      <c r="G73" s="247" t="str">
        <f t="shared" si="5"/>
        <v/>
      </c>
      <c r="H73" s="247" t="str">
        <f t="shared" si="3"/>
        <v/>
      </c>
    </row>
    <row r="74" spans="1:8" x14ac:dyDescent="0.2">
      <c r="A74" s="242" t="str">
        <f t="shared" si="0"/>
        <v/>
      </c>
      <c r="B74" s="249" t="str">
        <f t="shared" si="2"/>
        <v/>
      </c>
      <c r="C74" s="244" t="str">
        <f t="shared" si="6"/>
        <v/>
      </c>
      <c r="D74" s="244"/>
      <c r="E74" s="246" t="str">
        <f t="shared" si="1"/>
        <v/>
      </c>
      <c r="F74" s="247" t="str">
        <f t="shared" si="7"/>
        <v/>
      </c>
      <c r="G74" s="247" t="str">
        <f t="shared" si="5"/>
        <v/>
      </c>
      <c r="H74" s="247" t="str">
        <f t="shared" si="3"/>
        <v/>
      </c>
    </row>
    <row r="75" spans="1:8" x14ac:dyDescent="0.2">
      <c r="A75" s="242" t="str">
        <f t="shared" si="0"/>
        <v/>
      </c>
      <c r="B75" s="249" t="str">
        <f t="shared" si="2"/>
        <v/>
      </c>
      <c r="C75" s="244" t="str">
        <f t="shared" si="6"/>
        <v/>
      </c>
      <c r="D75" s="244"/>
      <c r="E75" s="246" t="str">
        <f t="shared" si="1"/>
        <v/>
      </c>
      <c r="F75" s="247" t="str">
        <f t="shared" si="7"/>
        <v/>
      </c>
      <c r="G75" s="247" t="str">
        <f t="shared" si="5"/>
        <v/>
      </c>
      <c r="H75" s="247" t="str">
        <f t="shared" si="3"/>
        <v/>
      </c>
    </row>
    <row r="76" spans="1:8" x14ac:dyDescent="0.2">
      <c r="A76" s="242" t="str">
        <f t="shared" si="0"/>
        <v/>
      </c>
      <c r="B76" s="249" t="str">
        <f t="shared" si="2"/>
        <v/>
      </c>
      <c r="C76" s="244" t="str">
        <f t="shared" si="6"/>
        <v/>
      </c>
      <c r="D76" s="244"/>
      <c r="E76" s="246" t="str">
        <f t="shared" si="1"/>
        <v/>
      </c>
      <c r="F76" s="247" t="str">
        <f t="shared" si="7"/>
        <v/>
      </c>
      <c r="G76" s="247" t="str">
        <f t="shared" si="5"/>
        <v/>
      </c>
      <c r="H76" s="247" t="str">
        <f t="shared" si="3"/>
        <v/>
      </c>
    </row>
    <row r="77" spans="1:8" x14ac:dyDescent="0.2">
      <c r="A77" s="242" t="str">
        <f t="shared" si="0"/>
        <v/>
      </c>
      <c r="B77" s="249" t="str">
        <f t="shared" si="2"/>
        <v/>
      </c>
      <c r="C77" s="244" t="str">
        <f t="shared" si="6"/>
        <v/>
      </c>
      <c r="D77" s="244"/>
      <c r="E77" s="246" t="str">
        <f t="shared" si="1"/>
        <v/>
      </c>
      <c r="F77" s="247" t="str">
        <f t="shared" si="7"/>
        <v/>
      </c>
      <c r="G77" s="247" t="str">
        <f t="shared" si="5"/>
        <v/>
      </c>
      <c r="H77" s="247" t="str">
        <f t="shared" si="3"/>
        <v/>
      </c>
    </row>
    <row r="78" spans="1:8" x14ac:dyDescent="0.2">
      <c r="A78" s="242" t="str">
        <f t="shared" si="0"/>
        <v/>
      </c>
      <c r="B78" s="249" t="str">
        <f t="shared" si="2"/>
        <v/>
      </c>
      <c r="C78" s="244" t="str">
        <f t="shared" si="6"/>
        <v/>
      </c>
      <c r="D78" s="244"/>
      <c r="E78" s="246" t="str">
        <f t="shared" si="1"/>
        <v/>
      </c>
      <c r="F78" s="247" t="str">
        <f t="shared" si="7"/>
        <v/>
      </c>
      <c r="G78" s="247" t="str">
        <f t="shared" si="5"/>
        <v/>
      </c>
      <c r="H78" s="247" t="str">
        <f t="shared" si="3"/>
        <v/>
      </c>
    </row>
    <row r="79" spans="1:8" x14ac:dyDescent="0.2">
      <c r="A79" s="242" t="str">
        <f t="shared" si="0"/>
        <v/>
      </c>
      <c r="B79" s="249" t="str">
        <f t="shared" si="2"/>
        <v/>
      </c>
      <c r="C79" s="244" t="str">
        <f t="shared" si="6"/>
        <v/>
      </c>
      <c r="D79" s="244"/>
      <c r="E79" s="246" t="str">
        <f t="shared" si="1"/>
        <v/>
      </c>
      <c r="F79" s="247" t="str">
        <f t="shared" si="7"/>
        <v/>
      </c>
      <c r="G79" s="247" t="str">
        <f t="shared" si="5"/>
        <v/>
      </c>
      <c r="H79" s="247" t="str">
        <f t="shared" si="3"/>
        <v/>
      </c>
    </row>
    <row r="80" spans="1:8" x14ac:dyDescent="0.2">
      <c r="A80" s="242" t="str">
        <f t="shared" si="0"/>
        <v/>
      </c>
      <c r="B80" s="249" t="str">
        <f t="shared" si="2"/>
        <v/>
      </c>
      <c r="C80" s="244" t="str">
        <f t="shared" si="6"/>
        <v/>
      </c>
      <c r="D80" s="244"/>
      <c r="E80" s="246" t="str">
        <f t="shared" si="1"/>
        <v/>
      </c>
      <c r="F80" s="247" t="str">
        <f t="shared" si="7"/>
        <v/>
      </c>
      <c r="G80" s="247" t="str">
        <f t="shared" si="5"/>
        <v/>
      </c>
      <c r="H80" s="247" t="str">
        <f t="shared" si="3"/>
        <v/>
      </c>
    </row>
    <row r="81" spans="1:8" x14ac:dyDescent="0.2">
      <c r="A81" s="242" t="str">
        <f t="shared" si="0"/>
        <v/>
      </c>
      <c r="B81" s="249" t="str">
        <f t="shared" si="2"/>
        <v/>
      </c>
      <c r="C81" s="244" t="str">
        <f t="shared" si="6"/>
        <v/>
      </c>
      <c r="D81" s="244"/>
      <c r="E81" s="246" t="str">
        <f t="shared" si="1"/>
        <v/>
      </c>
      <c r="F81" s="247" t="str">
        <f t="shared" si="7"/>
        <v/>
      </c>
      <c r="G81" s="247" t="str">
        <f t="shared" si="5"/>
        <v/>
      </c>
      <c r="H81" s="247" t="str">
        <f t="shared" si="3"/>
        <v/>
      </c>
    </row>
    <row r="82" spans="1:8" x14ac:dyDescent="0.2">
      <c r="A82" s="242" t="str">
        <f t="shared" si="0"/>
        <v/>
      </c>
      <c r="B82" s="249" t="str">
        <f t="shared" si="2"/>
        <v/>
      </c>
      <c r="C82" s="244" t="str">
        <f t="shared" si="6"/>
        <v/>
      </c>
      <c r="D82" s="244"/>
      <c r="E82" s="246" t="str">
        <f t="shared" si="1"/>
        <v/>
      </c>
      <c r="F82" s="247" t="str">
        <f t="shared" si="7"/>
        <v/>
      </c>
      <c r="G82" s="247" t="str">
        <f t="shared" si="5"/>
        <v/>
      </c>
      <c r="H82" s="247" t="str">
        <f t="shared" si="3"/>
        <v/>
      </c>
    </row>
    <row r="83" spans="1:8" x14ac:dyDescent="0.2">
      <c r="A83" s="242" t="str">
        <f t="shared" si="0"/>
        <v/>
      </c>
      <c r="B83" s="249" t="str">
        <f t="shared" si="2"/>
        <v/>
      </c>
      <c r="C83" s="244" t="str">
        <f t="shared" si="6"/>
        <v/>
      </c>
      <c r="D83" s="244"/>
      <c r="E83" s="246" t="str">
        <f t="shared" si="1"/>
        <v/>
      </c>
      <c r="F83" s="247" t="str">
        <f t="shared" si="7"/>
        <v/>
      </c>
      <c r="G83" s="247" t="str">
        <f t="shared" si="5"/>
        <v/>
      </c>
      <c r="H83" s="247" t="str">
        <f t="shared" si="3"/>
        <v/>
      </c>
    </row>
    <row r="84" spans="1:8" x14ac:dyDescent="0.2">
      <c r="A84" s="242" t="str">
        <f t="shared" si="0"/>
        <v/>
      </c>
      <c r="B84" s="249" t="str">
        <f t="shared" si="2"/>
        <v/>
      </c>
      <c r="C84" s="244" t="str">
        <f t="shared" si="6"/>
        <v/>
      </c>
      <c r="D84" s="244"/>
      <c r="E84" s="246" t="str">
        <f t="shared" si="1"/>
        <v/>
      </c>
      <c r="F84" s="247" t="str">
        <f t="shared" si="7"/>
        <v/>
      </c>
      <c r="G84" s="247" t="str">
        <f t="shared" si="5"/>
        <v/>
      </c>
      <c r="H84" s="247" t="str">
        <f t="shared" si="3"/>
        <v/>
      </c>
    </row>
    <row r="85" spans="1:8" x14ac:dyDescent="0.2">
      <c r="A85" s="242" t="str">
        <f t="shared" si="0"/>
        <v/>
      </c>
      <c r="B85" s="249" t="str">
        <f t="shared" si="2"/>
        <v/>
      </c>
      <c r="C85" s="244" t="str">
        <f t="shared" si="6"/>
        <v/>
      </c>
      <c r="D85" s="244"/>
      <c r="E85" s="246" t="str">
        <f t="shared" si="1"/>
        <v/>
      </c>
      <c r="F85" s="247" t="str">
        <f t="shared" si="7"/>
        <v/>
      </c>
      <c r="G85" s="247" t="str">
        <f t="shared" si="5"/>
        <v/>
      </c>
      <c r="H85" s="247" t="str">
        <f t="shared" si="3"/>
        <v/>
      </c>
    </row>
    <row r="86" spans="1:8" x14ac:dyDescent="0.2">
      <c r="A86" s="242" t="str">
        <f t="shared" si="0"/>
        <v/>
      </c>
      <c r="B86" s="249" t="str">
        <f t="shared" si="2"/>
        <v/>
      </c>
      <c r="C86" s="244" t="str">
        <f t="shared" si="6"/>
        <v/>
      </c>
      <c r="D86" s="244"/>
      <c r="E86" s="246" t="str">
        <f t="shared" si="1"/>
        <v/>
      </c>
      <c r="F86" s="247" t="str">
        <f t="shared" si="7"/>
        <v/>
      </c>
      <c r="G86" s="247" t="str">
        <f t="shared" si="5"/>
        <v/>
      </c>
      <c r="H86" s="247" t="str">
        <f t="shared" si="3"/>
        <v/>
      </c>
    </row>
    <row r="87" spans="1:8" x14ac:dyDescent="0.2">
      <c r="A87" s="242" t="str">
        <f t="shared" si="0"/>
        <v/>
      </c>
      <c r="B87" s="249" t="str">
        <f t="shared" si="2"/>
        <v/>
      </c>
      <c r="C87" s="244" t="str">
        <f t="shared" si="6"/>
        <v/>
      </c>
      <c r="D87" s="244"/>
      <c r="E87" s="246" t="str">
        <f t="shared" si="1"/>
        <v/>
      </c>
      <c r="F87" s="247" t="str">
        <f t="shared" si="7"/>
        <v/>
      </c>
      <c r="G87" s="247" t="str">
        <f t="shared" si="5"/>
        <v/>
      </c>
      <c r="H87" s="247" t="str">
        <f t="shared" si="3"/>
        <v/>
      </c>
    </row>
    <row r="88" spans="1:8" x14ac:dyDescent="0.2">
      <c r="A88" s="242" t="str">
        <f t="shared" ref="A88:A107" si="8">IF(A87="","",IF((A87+1)&gt;($B$8+$B$9),"",A87+1))</f>
        <v/>
      </c>
      <c r="B88" s="249" t="str">
        <f t="shared" si="2"/>
        <v/>
      </c>
      <c r="C88" s="244" t="str">
        <f t="shared" si="6"/>
        <v/>
      </c>
      <c r="D88" s="244"/>
      <c r="E88" s="246" t="str">
        <f t="shared" ref="E88:E107" si="9">IF(A88="","",+H88*$E$15)</f>
        <v/>
      </c>
      <c r="F88" s="247" t="str">
        <f t="shared" si="7"/>
        <v/>
      </c>
      <c r="G88" s="247" t="str">
        <f t="shared" si="5"/>
        <v/>
      </c>
      <c r="H88" s="247" t="str">
        <f t="shared" si="3"/>
        <v/>
      </c>
    </row>
    <row r="89" spans="1:8" x14ac:dyDescent="0.2">
      <c r="A89" s="242" t="str">
        <f t="shared" si="8"/>
        <v/>
      </c>
      <c r="B89" s="249" t="str">
        <f t="shared" ref="B89:B107" si="10">IF(A89="","",IF(B88="","",EDATE(B88,$AA$8)))</f>
        <v/>
      </c>
      <c r="C89" s="244" t="str">
        <f t="shared" si="6"/>
        <v/>
      </c>
      <c r="D89" s="244"/>
      <c r="E89" s="246" t="str">
        <f t="shared" si="9"/>
        <v/>
      </c>
      <c r="F89" s="247" t="str">
        <f t="shared" si="7"/>
        <v/>
      </c>
      <c r="G89" s="247" t="str">
        <f t="shared" si="5"/>
        <v/>
      </c>
      <c r="H89" s="247" t="str">
        <f t="shared" ref="H89:H107" si="11">IF(A89="","",+G88)</f>
        <v/>
      </c>
    </row>
    <row r="90" spans="1:8" x14ac:dyDescent="0.2">
      <c r="A90" s="242" t="str">
        <f t="shared" si="8"/>
        <v/>
      </c>
      <c r="B90" s="249" t="str">
        <f t="shared" si="10"/>
        <v/>
      </c>
      <c r="C90" s="244" t="str">
        <f t="shared" si="6"/>
        <v/>
      </c>
      <c r="D90" s="244"/>
      <c r="E90" s="246" t="str">
        <f t="shared" si="9"/>
        <v/>
      </c>
      <c r="F90" s="247" t="str">
        <f t="shared" si="7"/>
        <v/>
      </c>
      <c r="G90" s="247" t="str">
        <f t="shared" ref="G90:G107" si="12">IF(A90="","",+H90-F90)</f>
        <v/>
      </c>
      <c r="H90" s="247" t="str">
        <f t="shared" si="11"/>
        <v/>
      </c>
    </row>
    <row r="91" spans="1:8" x14ac:dyDescent="0.2">
      <c r="A91" s="242" t="str">
        <f t="shared" si="8"/>
        <v/>
      </c>
      <c r="B91" s="249" t="str">
        <f t="shared" si="10"/>
        <v/>
      </c>
      <c r="C91" s="244" t="str">
        <f t="shared" si="6"/>
        <v/>
      </c>
      <c r="D91" s="244"/>
      <c r="E91" s="246" t="str">
        <f t="shared" si="9"/>
        <v/>
      </c>
      <c r="F91" s="247" t="str">
        <f t="shared" si="7"/>
        <v/>
      </c>
      <c r="G91" s="247" t="str">
        <f t="shared" si="12"/>
        <v/>
      </c>
      <c r="H91" s="247" t="str">
        <f t="shared" si="11"/>
        <v/>
      </c>
    </row>
    <row r="92" spans="1:8" x14ac:dyDescent="0.2">
      <c r="A92" s="242" t="str">
        <f t="shared" si="8"/>
        <v/>
      </c>
      <c r="B92" s="249" t="str">
        <f t="shared" si="10"/>
        <v/>
      </c>
      <c r="C92" s="244" t="str">
        <f t="shared" si="6"/>
        <v/>
      </c>
      <c r="D92" s="244"/>
      <c r="E92" s="246" t="str">
        <f t="shared" si="9"/>
        <v/>
      </c>
      <c r="F92" s="247" t="str">
        <f t="shared" si="7"/>
        <v/>
      </c>
      <c r="G92" s="247" t="str">
        <f t="shared" si="12"/>
        <v/>
      </c>
      <c r="H92" s="247" t="str">
        <f t="shared" si="11"/>
        <v/>
      </c>
    </row>
    <row r="93" spans="1:8" x14ac:dyDescent="0.2">
      <c r="A93" s="242" t="str">
        <f t="shared" si="8"/>
        <v/>
      </c>
      <c r="B93" s="249" t="str">
        <f t="shared" si="10"/>
        <v/>
      </c>
      <c r="C93" s="244" t="str">
        <f t="shared" si="6"/>
        <v/>
      </c>
      <c r="D93" s="244"/>
      <c r="E93" s="246" t="str">
        <f t="shared" si="9"/>
        <v/>
      </c>
      <c r="F93" s="247" t="str">
        <f t="shared" si="7"/>
        <v/>
      </c>
      <c r="G93" s="247" t="str">
        <f t="shared" si="12"/>
        <v/>
      </c>
      <c r="H93" s="247" t="str">
        <f t="shared" si="11"/>
        <v/>
      </c>
    </row>
    <row r="94" spans="1:8" x14ac:dyDescent="0.2">
      <c r="A94" s="242" t="str">
        <f t="shared" si="8"/>
        <v/>
      </c>
      <c r="B94" s="249" t="str">
        <f t="shared" si="10"/>
        <v/>
      </c>
      <c r="C94" s="244" t="str">
        <f t="shared" si="6"/>
        <v/>
      </c>
      <c r="D94" s="244"/>
      <c r="E94" s="246" t="str">
        <f t="shared" si="9"/>
        <v/>
      </c>
      <c r="F94" s="247" t="str">
        <f t="shared" si="7"/>
        <v/>
      </c>
      <c r="G94" s="247" t="str">
        <f t="shared" si="12"/>
        <v/>
      </c>
      <c r="H94" s="247" t="str">
        <f t="shared" si="11"/>
        <v/>
      </c>
    </row>
    <row r="95" spans="1:8" x14ac:dyDescent="0.2">
      <c r="A95" s="242" t="str">
        <f t="shared" si="8"/>
        <v/>
      </c>
      <c r="B95" s="249" t="str">
        <f t="shared" si="10"/>
        <v/>
      </c>
      <c r="C95" s="244" t="str">
        <f t="shared" si="6"/>
        <v/>
      </c>
      <c r="D95" s="244"/>
      <c r="E95" s="246" t="str">
        <f t="shared" si="9"/>
        <v/>
      </c>
      <c r="F95" s="247" t="str">
        <f t="shared" si="7"/>
        <v/>
      </c>
      <c r="G95" s="247" t="str">
        <f t="shared" si="12"/>
        <v/>
      </c>
      <c r="H95" s="247" t="str">
        <f t="shared" si="11"/>
        <v/>
      </c>
    </row>
    <row r="96" spans="1:8" x14ac:dyDescent="0.2">
      <c r="A96" s="242" t="str">
        <f t="shared" si="8"/>
        <v/>
      </c>
      <c r="B96" s="249" t="str">
        <f t="shared" si="10"/>
        <v/>
      </c>
      <c r="C96" s="244" t="str">
        <f t="shared" si="6"/>
        <v/>
      </c>
      <c r="D96" s="244"/>
      <c r="E96" s="246" t="str">
        <f t="shared" si="9"/>
        <v/>
      </c>
      <c r="F96" s="247" t="str">
        <f t="shared" si="7"/>
        <v/>
      </c>
      <c r="G96" s="247" t="str">
        <f t="shared" si="12"/>
        <v/>
      </c>
      <c r="H96" s="247" t="str">
        <f t="shared" si="11"/>
        <v/>
      </c>
    </row>
    <row r="97" spans="1:8" x14ac:dyDescent="0.2">
      <c r="A97" s="242" t="str">
        <f t="shared" si="8"/>
        <v/>
      </c>
      <c r="B97" s="249" t="str">
        <f t="shared" si="10"/>
        <v/>
      </c>
      <c r="C97" s="244" t="str">
        <f t="shared" si="6"/>
        <v/>
      </c>
      <c r="D97" s="244"/>
      <c r="E97" s="246" t="str">
        <f t="shared" si="9"/>
        <v/>
      </c>
      <c r="F97" s="247" t="str">
        <f t="shared" si="7"/>
        <v/>
      </c>
      <c r="G97" s="247" t="str">
        <f t="shared" si="12"/>
        <v/>
      </c>
      <c r="H97" s="247" t="str">
        <f t="shared" si="11"/>
        <v/>
      </c>
    </row>
    <row r="98" spans="1:8" x14ac:dyDescent="0.2">
      <c r="A98" s="242" t="str">
        <f t="shared" si="8"/>
        <v/>
      </c>
      <c r="B98" s="249" t="str">
        <f t="shared" si="10"/>
        <v/>
      </c>
      <c r="C98" s="244" t="str">
        <f t="shared" si="6"/>
        <v/>
      </c>
      <c r="D98" s="244"/>
      <c r="E98" s="246" t="str">
        <f t="shared" si="9"/>
        <v/>
      </c>
      <c r="F98" s="247" t="str">
        <f t="shared" si="7"/>
        <v/>
      </c>
      <c r="G98" s="247" t="str">
        <f t="shared" si="12"/>
        <v/>
      </c>
      <c r="H98" s="247" t="str">
        <f t="shared" si="11"/>
        <v/>
      </c>
    </row>
    <row r="99" spans="1:8" x14ac:dyDescent="0.2">
      <c r="A99" s="242" t="str">
        <f t="shared" si="8"/>
        <v/>
      </c>
      <c r="B99" s="249" t="str">
        <f t="shared" si="10"/>
        <v/>
      </c>
      <c r="C99" s="244" t="str">
        <f t="shared" si="6"/>
        <v/>
      </c>
      <c r="D99" s="244"/>
      <c r="E99" s="246" t="str">
        <f t="shared" si="9"/>
        <v/>
      </c>
      <c r="F99" s="247" t="str">
        <f t="shared" si="7"/>
        <v/>
      </c>
      <c r="G99" s="247" t="str">
        <f t="shared" si="12"/>
        <v/>
      </c>
      <c r="H99" s="247" t="str">
        <f t="shared" si="11"/>
        <v/>
      </c>
    </row>
    <row r="100" spans="1:8" x14ac:dyDescent="0.2">
      <c r="A100" s="242" t="str">
        <f t="shared" si="8"/>
        <v/>
      </c>
      <c r="B100" s="249" t="str">
        <f t="shared" si="10"/>
        <v/>
      </c>
      <c r="C100" s="244" t="str">
        <f t="shared" si="6"/>
        <v/>
      </c>
      <c r="D100" s="244"/>
      <c r="E100" s="246" t="str">
        <f t="shared" si="9"/>
        <v/>
      </c>
      <c r="F100" s="247" t="str">
        <f t="shared" si="7"/>
        <v/>
      </c>
      <c r="G100" s="247" t="str">
        <f t="shared" si="12"/>
        <v/>
      </c>
      <c r="H100" s="247" t="str">
        <f t="shared" si="11"/>
        <v/>
      </c>
    </row>
    <row r="101" spans="1:8" x14ac:dyDescent="0.2">
      <c r="A101" s="242" t="str">
        <f t="shared" si="8"/>
        <v/>
      </c>
      <c r="B101" s="249" t="str">
        <f t="shared" si="10"/>
        <v/>
      </c>
      <c r="C101" s="244" t="str">
        <f t="shared" si="6"/>
        <v/>
      </c>
      <c r="D101" s="244"/>
      <c r="E101" s="246" t="str">
        <f t="shared" si="9"/>
        <v/>
      </c>
      <c r="F101" s="247" t="str">
        <f t="shared" si="7"/>
        <v/>
      </c>
      <c r="G101" s="247" t="str">
        <f t="shared" si="12"/>
        <v/>
      </c>
      <c r="H101" s="247" t="str">
        <f t="shared" si="11"/>
        <v/>
      </c>
    </row>
    <row r="102" spans="1:8" x14ac:dyDescent="0.2">
      <c r="A102" s="242" t="str">
        <f t="shared" si="8"/>
        <v/>
      </c>
      <c r="B102" s="249" t="str">
        <f t="shared" si="10"/>
        <v/>
      </c>
      <c r="C102" s="244" t="str">
        <f t="shared" si="6"/>
        <v/>
      </c>
      <c r="D102" s="244"/>
      <c r="E102" s="246" t="str">
        <f t="shared" si="9"/>
        <v/>
      </c>
      <c r="F102" s="247" t="str">
        <f t="shared" si="7"/>
        <v/>
      </c>
      <c r="G102" s="247" t="str">
        <f t="shared" si="12"/>
        <v/>
      </c>
      <c r="H102" s="247" t="str">
        <f t="shared" si="11"/>
        <v/>
      </c>
    </row>
    <row r="103" spans="1:8" x14ac:dyDescent="0.2">
      <c r="A103" s="242" t="str">
        <f t="shared" si="8"/>
        <v/>
      </c>
      <c r="B103" s="249" t="str">
        <f t="shared" si="10"/>
        <v/>
      </c>
      <c r="C103" s="244" t="str">
        <f t="shared" si="6"/>
        <v/>
      </c>
      <c r="D103" s="244"/>
      <c r="E103" s="246" t="str">
        <f t="shared" si="9"/>
        <v/>
      </c>
      <c r="F103" s="247" t="str">
        <f t="shared" si="7"/>
        <v/>
      </c>
      <c r="G103" s="247" t="str">
        <f t="shared" si="12"/>
        <v/>
      </c>
      <c r="H103" s="247" t="str">
        <f t="shared" si="11"/>
        <v/>
      </c>
    </row>
    <row r="104" spans="1:8" x14ac:dyDescent="0.2">
      <c r="A104" s="242" t="str">
        <f t="shared" si="8"/>
        <v/>
      </c>
      <c r="B104" s="249" t="str">
        <f t="shared" si="10"/>
        <v/>
      </c>
      <c r="C104" s="244" t="str">
        <f t="shared" si="6"/>
        <v/>
      </c>
      <c r="D104" s="244"/>
      <c r="E104" s="246" t="str">
        <f t="shared" si="9"/>
        <v/>
      </c>
      <c r="F104" s="247" t="str">
        <f t="shared" si="7"/>
        <v/>
      </c>
      <c r="G104" s="247" t="str">
        <f t="shared" si="12"/>
        <v/>
      </c>
      <c r="H104" s="247" t="str">
        <f t="shared" si="11"/>
        <v/>
      </c>
    </row>
    <row r="105" spans="1:8" x14ac:dyDescent="0.2">
      <c r="A105" s="242" t="str">
        <f t="shared" si="8"/>
        <v/>
      </c>
      <c r="B105" s="249" t="str">
        <f t="shared" si="10"/>
        <v/>
      </c>
      <c r="C105" s="244" t="str">
        <f t="shared" si="6"/>
        <v/>
      </c>
      <c r="D105" s="244"/>
      <c r="E105" s="246" t="str">
        <f t="shared" si="9"/>
        <v/>
      </c>
      <c r="F105" s="247" t="str">
        <f t="shared" si="7"/>
        <v/>
      </c>
      <c r="G105" s="247" t="str">
        <f t="shared" si="12"/>
        <v/>
      </c>
      <c r="H105" s="247" t="str">
        <f t="shared" si="11"/>
        <v/>
      </c>
    </row>
    <row r="106" spans="1:8" x14ac:dyDescent="0.2">
      <c r="A106" s="242" t="str">
        <f t="shared" si="8"/>
        <v/>
      </c>
      <c r="B106" s="249" t="str">
        <f t="shared" si="10"/>
        <v/>
      </c>
      <c r="C106" s="244" t="str">
        <f t="shared" si="6"/>
        <v/>
      </c>
      <c r="D106" s="244"/>
      <c r="E106" s="246" t="str">
        <f t="shared" si="9"/>
        <v/>
      </c>
      <c r="F106" s="247" t="str">
        <f t="shared" si="7"/>
        <v/>
      </c>
      <c r="G106" s="247" t="str">
        <f t="shared" si="12"/>
        <v/>
      </c>
      <c r="H106" s="247" t="str">
        <f t="shared" si="11"/>
        <v/>
      </c>
    </row>
    <row r="107" spans="1:8" x14ac:dyDescent="0.2">
      <c r="A107" s="242" t="str">
        <f t="shared" si="8"/>
        <v/>
      </c>
      <c r="B107" s="249" t="str">
        <f t="shared" si="10"/>
        <v/>
      </c>
      <c r="C107" s="244" t="str">
        <f t="shared" si="6"/>
        <v/>
      </c>
      <c r="D107" s="244"/>
      <c r="E107" s="246" t="str">
        <f t="shared" si="9"/>
        <v/>
      </c>
      <c r="F107" s="247" t="str">
        <f t="shared" si="7"/>
        <v/>
      </c>
      <c r="G107" s="247" t="str">
        <f t="shared" si="12"/>
        <v/>
      </c>
      <c r="H107" s="247" t="str">
        <f t="shared" si="11"/>
        <v/>
      </c>
    </row>
    <row r="108" spans="1:8" x14ac:dyDescent="0.2">
      <c r="B108" s="250"/>
    </row>
    <row r="109" spans="1:8" x14ac:dyDescent="0.2">
      <c r="B109" s="250"/>
    </row>
    <row r="110" spans="1:8" x14ac:dyDescent="0.2">
      <c r="B110" s="250"/>
    </row>
    <row r="111" spans="1:8" x14ac:dyDescent="0.2">
      <c r="B111" s="250"/>
    </row>
    <row r="112" spans="1:8" x14ac:dyDescent="0.2">
      <c r="B112" s="250"/>
    </row>
    <row r="113" spans="2:2" x14ac:dyDescent="0.2">
      <c r="B113" s="250"/>
    </row>
    <row r="114" spans="2:2" x14ac:dyDescent="0.2">
      <c r="B114" s="250"/>
    </row>
    <row r="115" spans="2:2" x14ac:dyDescent="0.2">
      <c r="B115" s="250"/>
    </row>
    <row r="116" spans="2:2" x14ac:dyDescent="0.2">
      <c r="B116" s="250"/>
    </row>
    <row r="117" spans="2:2" x14ac:dyDescent="0.2">
      <c r="B117" s="250"/>
    </row>
    <row r="118" spans="2:2" x14ac:dyDescent="0.2">
      <c r="B118" s="250"/>
    </row>
    <row r="119" spans="2:2" x14ac:dyDescent="0.2">
      <c r="B119" s="250"/>
    </row>
    <row r="120" spans="2:2" x14ac:dyDescent="0.2">
      <c r="B120" s="250"/>
    </row>
    <row r="121" spans="2:2" x14ac:dyDescent="0.2">
      <c r="B121" s="250"/>
    </row>
    <row r="122" spans="2:2" x14ac:dyDescent="0.2">
      <c r="B122" s="250"/>
    </row>
    <row r="123" spans="2:2" x14ac:dyDescent="0.2">
      <c r="B123" s="250"/>
    </row>
    <row r="124" spans="2:2" x14ac:dyDescent="0.2">
      <c r="B124" s="250"/>
    </row>
    <row r="125" spans="2:2" x14ac:dyDescent="0.2">
      <c r="B125" s="250"/>
    </row>
    <row r="126" spans="2:2" x14ac:dyDescent="0.2">
      <c r="B126" s="250"/>
    </row>
    <row r="127" spans="2:2" x14ac:dyDescent="0.2">
      <c r="B127" s="250"/>
    </row>
    <row r="128" spans="2:2" x14ac:dyDescent="0.2">
      <c r="B128" s="250"/>
    </row>
    <row r="129" spans="2:2" x14ac:dyDescent="0.2">
      <c r="B129" s="250"/>
    </row>
    <row r="130" spans="2:2" x14ac:dyDescent="0.2">
      <c r="B130" s="250"/>
    </row>
    <row r="131" spans="2:2" x14ac:dyDescent="0.2">
      <c r="B131" s="250"/>
    </row>
    <row r="132" spans="2:2" x14ac:dyDescent="0.2">
      <c r="B132" s="250"/>
    </row>
    <row r="133" spans="2:2" x14ac:dyDescent="0.2">
      <c r="B133" s="250"/>
    </row>
    <row r="134" spans="2:2" x14ac:dyDescent="0.2">
      <c r="B134" s="250"/>
    </row>
    <row r="135" spans="2:2" x14ac:dyDescent="0.2">
      <c r="B135" s="250"/>
    </row>
    <row r="136" spans="2:2" x14ac:dyDescent="0.2">
      <c r="B136" s="250"/>
    </row>
    <row r="137" spans="2:2" x14ac:dyDescent="0.2">
      <c r="B137" s="250"/>
    </row>
    <row r="138" spans="2:2" x14ac:dyDescent="0.2">
      <c r="B138" s="250"/>
    </row>
    <row r="139" spans="2:2" x14ac:dyDescent="0.2">
      <c r="B139" s="250"/>
    </row>
    <row r="140" spans="2:2" x14ac:dyDescent="0.2">
      <c r="B140" s="250"/>
    </row>
    <row r="141" spans="2:2" x14ac:dyDescent="0.2">
      <c r="B141" s="250"/>
    </row>
    <row r="142" spans="2:2" x14ac:dyDescent="0.2">
      <c r="B142" s="250"/>
    </row>
    <row r="143" spans="2:2" x14ac:dyDescent="0.2">
      <c r="B143" s="250"/>
    </row>
    <row r="144" spans="2:2" x14ac:dyDescent="0.2">
      <c r="B144" s="250"/>
    </row>
    <row r="145" spans="2:2" x14ac:dyDescent="0.2">
      <c r="B145" s="250"/>
    </row>
    <row r="146" spans="2:2" x14ac:dyDescent="0.2">
      <c r="B146" s="250"/>
    </row>
    <row r="147" spans="2:2" x14ac:dyDescent="0.2">
      <c r="B147" s="250"/>
    </row>
    <row r="148" spans="2:2" x14ac:dyDescent="0.2">
      <c r="B148" s="250"/>
    </row>
    <row r="149" spans="2:2" x14ac:dyDescent="0.2">
      <c r="B149" s="250"/>
    </row>
    <row r="150" spans="2:2" x14ac:dyDescent="0.2">
      <c r="B150" s="250"/>
    </row>
    <row r="151" spans="2:2" x14ac:dyDescent="0.2">
      <c r="B151" s="250"/>
    </row>
    <row r="152" spans="2:2" x14ac:dyDescent="0.2">
      <c r="B152" s="250"/>
    </row>
    <row r="153" spans="2:2" x14ac:dyDescent="0.2">
      <c r="B153" s="250"/>
    </row>
    <row r="154" spans="2:2" x14ac:dyDescent="0.2">
      <c r="B154" s="250"/>
    </row>
    <row r="155" spans="2:2" x14ac:dyDescent="0.2">
      <c r="B155" s="250"/>
    </row>
    <row r="156" spans="2:2" x14ac:dyDescent="0.2">
      <c r="B156" s="250"/>
    </row>
    <row r="157" spans="2:2" x14ac:dyDescent="0.2">
      <c r="B157" s="250"/>
    </row>
    <row r="158" spans="2:2" x14ac:dyDescent="0.2">
      <c r="B158" s="250"/>
    </row>
    <row r="159" spans="2:2" x14ac:dyDescent="0.2">
      <c r="B159" s="250"/>
    </row>
    <row r="160" spans="2:2" x14ac:dyDescent="0.2">
      <c r="B160" s="250"/>
    </row>
    <row r="161" spans="2:2" x14ac:dyDescent="0.2">
      <c r="B161" s="250"/>
    </row>
    <row r="162" spans="2:2" x14ac:dyDescent="0.2">
      <c r="B162" s="250"/>
    </row>
    <row r="163" spans="2:2" x14ac:dyDescent="0.2">
      <c r="B163" s="250"/>
    </row>
    <row r="164" spans="2:2" x14ac:dyDescent="0.2">
      <c r="B164" s="250"/>
    </row>
    <row r="165" spans="2:2" x14ac:dyDescent="0.2">
      <c r="B165" s="250"/>
    </row>
    <row r="166" spans="2:2" x14ac:dyDescent="0.2">
      <c r="B166" s="250"/>
    </row>
    <row r="167" spans="2:2" x14ac:dyDescent="0.2">
      <c r="B167" s="250"/>
    </row>
    <row r="168" spans="2:2" x14ac:dyDescent="0.2">
      <c r="B168" s="250"/>
    </row>
    <row r="169" spans="2:2" x14ac:dyDescent="0.2">
      <c r="B169" s="250"/>
    </row>
    <row r="170" spans="2:2" x14ac:dyDescent="0.2">
      <c r="B170" s="250"/>
    </row>
    <row r="171" spans="2:2" x14ac:dyDescent="0.2">
      <c r="B171" s="250"/>
    </row>
    <row r="172" spans="2:2" x14ac:dyDescent="0.2">
      <c r="B172" s="250"/>
    </row>
    <row r="173" spans="2:2" x14ac:dyDescent="0.2">
      <c r="B173" s="250"/>
    </row>
    <row r="174" spans="2:2" x14ac:dyDescent="0.2">
      <c r="B174" s="250"/>
    </row>
    <row r="175" spans="2:2" x14ac:dyDescent="0.2">
      <c r="B175" s="250"/>
    </row>
    <row r="176" spans="2:2" x14ac:dyDescent="0.2">
      <c r="B176" s="250"/>
    </row>
    <row r="177" spans="2:2" x14ac:dyDescent="0.2">
      <c r="B177" s="250"/>
    </row>
    <row r="178" spans="2:2" x14ac:dyDescent="0.2">
      <c r="B178" s="250"/>
    </row>
    <row r="179" spans="2:2" x14ac:dyDescent="0.2">
      <c r="B179" s="250"/>
    </row>
    <row r="180" spans="2:2" x14ac:dyDescent="0.2">
      <c r="B180" s="250"/>
    </row>
    <row r="181" spans="2:2" x14ac:dyDescent="0.2">
      <c r="B181" s="250"/>
    </row>
    <row r="182" spans="2:2" x14ac:dyDescent="0.2">
      <c r="B182" s="250"/>
    </row>
    <row r="183" spans="2:2" x14ac:dyDescent="0.2">
      <c r="B183" s="250"/>
    </row>
    <row r="184" spans="2:2" x14ac:dyDescent="0.2">
      <c r="B184" s="250"/>
    </row>
    <row r="185" spans="2:2" x14ac:dyDescent="0.2">
      <c r="B185" s="250"/>
    </row>
    <row r="186" spans="2:2" x14ac:dyDescent="0.2">
      <c r="B186" s="250"/>
    </row>
    <row r="187" spans="2:2" x14ac:dyDescent="0.2">
      <c r="B187" s="250"/>
    </row>
    <row r="188" spans="2:2" x14ac:dyDescent="0.2">
      <c r="B188" s="250"/>
    </row>
    <row r="189" spans="2:2" x14ac:dyDescent="0.2">
      <c r="B189" s="250"/>
    </row>
    <row r="190" spans="2:2" x14ac:dyDescent="0.2">
      <c r="B190" s="250"/>
    </row>
    <row r="191" spans="2:2" x14ac:dyDescent="0.2">
      <c r="B191" s="250"/>
    </row>
    <row r="192" spans="2:2" x14ac:dyDescent="0.2">
      <c r="B192" s="250"/>
    </row>
    <row r="193" spans="2:2" x14ac:dyDescent="0.2">
      <c r="B193" s="250"/>
    </row>
    <row r="194" spans="2:2" x14ac:dyDescent="0.2">
      <c r="B194" s="250"/>
    </row>
    <row r="195" spans="2:2" x14ac:dyDescent="0.2">
      <c r="B195" s="250"/>
    </row>
    <row r="196" spans="2:2" x14ac:dyDescent="0.2">
      <c r="B196" s="250"/>
    </row>
    <row r="197" spans="2:2" x14ac:dyDescent="0.2">
      <c r="B197" s="250"/>
    </row>
    <row r="198" spans="2:2" x14ac:dyDescent="0.2">
      <c r="B198" s="250"/>
    </row>
    <row r="199" spans="2:2" x14ac:dyDescent="0.2">
      <c r="B199" s="250"/>
    </row>
    <row r="200" spans="2:2" x14ac:dyDescent="0.2">
      <c r="B200" s="250"/>
    </row>
    <row r="201" spans="2:2" x14ac:dyDescent="0.2">
      <c r="B201" s="250"/>
    </row>
    <row r="202" spans="2:2" x14ac:dyDescent="0.2">
      <c r="B202" s="250"/>
    </row>
    <row r="203" spans="2:2" x14ac:dyDescent="0.2">
      <c r="B203" s="250"/>
    </row>
    <row r="204" spans="2:2" x14ac:dyDescent="0.2">
      <c r="B204" s="250"/>
    </row>
    <row r="205" spans="2:2" x14ac:dyDescent="0.2">
      <c r="B205" s="250"/>
    </row>
    <row r="206" spans="2:2" x14ac:dyDescent="0.2">
      <c r="B206" s="250"/>
    </row>
    <row r="207" spans="2:2" x14ac:dyDescent="0.2">
      <c r="B207" s="250"/>
    </row>
    <row r="208" spans="2:2" x14ac:dyDescent="0.2">
      <c r="B208" s="250"/>
    </row>
    <row r="209" spans="2:2" x14ac:dyDescent="0.2">
      <c r="B209" s="250"/>
    </row>
    <row r="210" spans="2:2" x14ac:dyDescent="0.2">
      <c r="B210" s="250"/>
    </row>
    <row r="211" spans="2:2" x14ac:dyDescent="0.2">
      <c r="B211" s="250"/>
    </row>
    <row r="212" spans="2:2" x14ac:dyDescent="0.2">
      <c r="B212" s="250"/>
    </row>
    <row r="213" spans="2:2" x14ac:dyDescent="0.2">
      <c r="B213" s="250"/>
    </row>
    <row r="214" spans="2:2" x14ac:dyDescent="0.2">
      <c r="B214" s="250"/>
    </row>
    <row r="215" spans="2:2" x14ac:dyDescent="0.2">
      <c r="B215" s="250"/>
    </row>
  </sheetData>
  <mergeCells count="1">
    <mergeCell ref="C19:E19"/>
  </mergeCells>
  <dataValidations count="5">
    <dataValidation type="date" operator="greaterThan" allowBlank="1" showInputMessage="1" showErrorMessage="1" error="Please enter the vaild date from 01-01-1900" sqref="E8:E9" xr:uid="{00000000-0002-0000-0E00-000000000000}">
      <formula1>1</formula1>
    </dataValidation>
    <dataValidation type="list" allowBlank="1" showInputMessage="1" showErrorMessage="1" sqref="F9" xr:uid="{00000000-0002-0000-0E00-000001000000}">
      <formula1>$AA$10:$AA$11</formula1>
    </dataValidation>
    <dataValidation type="whole" operator="lessThanOrEqual" allowBlank="1" showInputMessage="1" showErrorMessage="1" prompt="Only one payment" sqref="B9" xr:uid="{00000000-0002-0000-0E00-000002000000}">
      <formula1>1</formula1>
    </dataValidation>
    <dataValidation type="whole" allowBlank="1" showInputMessage="1" showErrorMessage="1" prompt="Upto 84 installments" sqref="B8" xr:uid="{00000000-0002-0000-0E00-000003000000}">
      <formula1>1</formula1>
      <formula2>84</formula2>
    </dataValidation>
    <dataValidation type="list" allowBlank="1" showInputMessage="1" showErrorMessage="1" sqref="F8" xr:uid="{00000000-0002-0000-0E00-000004000000}">
      <formula1>$AA$2:$AA$5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2"/>
  <sheetViews>
    <sheetView zoomScale="75" zoomScaleNormal="75" workbookViewId="0">
      <selection activeCell="F16" sqref="F16"/>
    </sheetView>
  </sheetViews>
  <sheetFormatPr defaultRowHeight="15" x14ac:dyDescent="0.25"/>
  <cols>
    <col min="1" max="1" width="9.28515625" customWidth="1"/>
    <col min="2" max="2" width="23.42578125" customWidth="1"/>
    <col min="3" max="3" width="15.42578125" customWidth="1"/>
    <col min="4" max="4" width="20.28515625" customWidth="1"/>
    <col min="5" max="5" width="13.28515625" bestFit="1" customWidth="1"/>
    <col min="6" max="6" width="54" bestFit="1" customWidth="1"/>
  </cols>
  <sheetData>
    <row r="1" spans="1:6" s="57" customFormat="1" ht="21.75" customHeight="1" x14ac:dyDescent="0.3">
      <c r="A1" s="312" t="s">
        <v>269</v>
      </c>
      <c r="B1" s="312"/>
      <c r="C1" s="312"/>
      <c r="D1" s="312"/>
      <c r="E1" s="312"/>
      <c r="F1" s="312"/>
    </row>
    <row r="2" spans="1:6" ht="30" x14ac:dyDescent="0.25">
      <c r="A2" s="168" t="s">
        <v>234</v>
      </c>
      <c r="B2" s="168" t="s">
        <v>235</v>
      </c>
      <c r="C2" s="169" t="s">
        <v>454</v>
      </c>
      <c r="D2" s="169" t="s">
        <v>455</v>
      </c>
      <c r="E2" s="169" t="s">
        <v>456</v>
      </c>
      <c r="F2" s="169" t="s">
        <v>457</v>
      </c>
    </row>
    <row r="3" spans="1:6" x14ac:dyDescent="0.25">
      <c r="A3" s="171" t="s">
        <v>236</v>
      </c>
      <c r="B3" s="200" t="s">
        <v>328</v>
      </c>
      <c r="C3" s="172">
        <v>175000</v>
      </c>
      <c r="D3" s="173">
        <f>+C3/10*3</f>
        <v>52500</v>
      </c>
      <c r="E3" s="173">
        <f>+C3+D3</f>
        <v>227500</v>
      </c>
      <c r="F3" s="170" t="s">
        <v>330</v>
      </c>
    </row>
    <row r="4" spans="1:6" s="57" customFormat="1" ht="24" x14ac:dyDescent="0.25">
      <c r="A4" s="171" t="s">
        <v>271</v>
      </c>
      <c r="B4" s="171"/>
      <c r="C4" s="172"/>
      <c r="D4" s="173"/>
      <c r="E4" s="173"/>
      <c r="F4" s="170"/>
    </row>
    <row r="5" spans="1:6" x14ac:dyDescent="0.25">
      <c r="A5" s="171" t="s">
        <v>237</v>
      </c>
      <c r="B5" s="200" t="s">
        <v>329</v>
      </c>
      <c r="C5" s="172">
        <v>86000</v>
      </c>
      <c r="D5" s="173">
        <f t="shared" ref="D5:D21" si="0">+C5/10*3</f>
        <v>25800</v>
      </c>
      <c r="E5" s="173">
        <f t="shared" ref="E5:E15" si="1">+C5+D5</f>
        <v>111800</v>
      </c>
      <c r="F5" s="170" t="s">
        <v>330</v>
      </c>
    </row>
    <row r="6" spans="1:6" x14ac:dyDescent="0.25">
      <c r="A6" s="171" t="s">
        <v>238</v>
      </c>
      <c r="B6" s="171" t="s">
        <v>239</v>
      </c>
      <c r="C6" s="172">
        <v>2500</v>
      </c>
      <c r="D6" s="173"/>
      <c r="E6" s="173">
        <f t="shared" si="1"/>
        <v>2500</v>
      </c>
      <c r="F6" s="170" t="s">
        <v>268</v>
      </c>
    </row>
    <row r="7" spans="1:6" x14ac:dyDescent="0.25">
      <c r="A7" s="171" t="s">
        <v>240</v>
      </c>
      <c r="B7" s="171" t="s">
        <v>241</v>
      </c>
      <c r="C7" s="172">
        <v>2700</v>
      </c>
      <c r="D7" s="173">
        <f t="shared" si="0"/>
        <v>810</v>
      </c>
      <c r="E7" s="173">
        <f t="shared" si="1"/>
        <v>3510</v>
      </c>
      <c r="F7" s="170" t="s">
        <v>330</v>
      </c>
    </row>
    <row r="8" spans="1:6" x14ac:dyDescent="0.25">
      <c r="A8" s="171" t="s">
        <v>242</v>
      </c>
      <c r="B8" s="171" t="s">
        <v>243</v>
      </c>
      <c r="C8" s="172">
        <v>90</v>
      </c>
      <c r="D8" s="173">
        <v>30</v>
      </c>
      <c r="E8" s="173">
        <f t="shared" si="1"/>
        <v>120</v>
      </c>
      <c r="F8" s="170" t="s">
        <v>330</v>
      </c>
    </row>
    <row r="9" spans="1:6" x14ac:dyDescent="0.25">
      <c r="A9" s="171" t="s">
        <v>244</v>
      </c>
      <c r="B9" s="171" t="s">
        <v>245</v>
      </c>
      <c r="C9" s="172">
        <v>1250</v>
      </c>
      <c r="D9" s="173">
        <f t="shared" si="0"/>
        <v>375</v>
      </c>
      <c r="E9" s="173">
        <f t="shared" si="1"/>
        <v>1625</v>
      </c>
      <c r="F9" s="170" t="s">
        <v>330</v>
      </c>
    </row>
    <row r="10" spans="1:6" x14ac:dyDescent="0.25">
      <c r="A10" s="171" t="s">
        <v>246</v>
      </c>
      <c r="B10" s="171" t="s">
        <v>247</v>
      </c>
      <c r="C10" s="172">
        <f>375*6</f>
        <v>2250</v>
      </c>
      <c r="D10" s="173">
        <f t="shared" si="0"/>
        <v>675</v>
      </c>
      <c r="E10" s="173">
        <f t="shared" si="1"/>
        <v>2925</v>
      </c>
      <c r="F10" s="170" t="s">
        <v>330</v>
      </c>
    </row>
    <row r="11" spans="1:6" x14ac:dyDescent="0.25">
      <c r="A11" s="171" t="s">
        <v>248</v>
      </c>
      <c r="B11" s="171" t="s">
        <v>249</v>
      </c>
      <c r="C11" s="172">
        <v>3750</v>
      </c>
      <c r="D11" s="173"/>
      <c r="E11" s="173">
        <f t="shared" si="1"/>
        <v>3750</v>
      </c>
      <c r="F11" s="170" t="s">
        <v>268</v>
      </c>
    </row>
    <row r="12" spans="1:6" x14ac:dyDescent="0.25">
      <c r="A12" s="171" t="s">
        <v>250</v>
      </c>
      <c r="B12" s="171" t="s">
        <v>251</v>
      </c>
      <c r="C12" s="172">
        <v>630</v>
      </c>
      <c r="D12" s="173">
        <f t="shared" si="0"/>
        <v>189</v>
      </c>
      <c r="E12" s="173">
        <f t="shared" si="1"/>
        <v>819</v>
      </c>
      <c r="F12" s="170" t="s">
        <v>330</v>
      </c>
    </row>
    <row r="13" spans="1:6" x14ac:dyDescent="0.25">
      <c r="A13" s="171" t="s">
        <v>252</v>
      </c>
      <c r="B13" s="171" t="s">
        <v>253</v>
      </c>
      <c r="C13" s="174">
        <v>263</v>
      </c>
      <c r="D13" s="173"/>
      <c r="E13" s="173">
        <f t="shared" si="1"/>
        <v>263</v>
      </c>
      <c r="F13" s="170" t="s">
        <v>268</v>
      </c>
    </row>
    <row r="14" spans="1:6" ht="24" x14ac:dyDescent="0.25">
      <c r="A14" s="171" t="s">
        <v>254</v>
      </c>
      <c r="B14" s="171" t="s">
        <v>255</v>
      </c>
      <c r="C14" s="174">
        <f>+SUM('HP Schedule'!E23:E28)</f>
        <v>5064.5515165601246</v>
      </c>
      <c r="D14" s="173">
        <f>+SUM('HP Schedule'!E29:E31)</f>
        <v>2321.5805329487112</v>
      </c>
      <c r="E14" s="173">
        <f t="shared" si="1"/>
        <v>7386.1320495088357</v>
      </c>
      <c r="F14" s="170" t="s">
        <v>268</v>
      </c>
    </row>
    <row r="15" spans="1:6" x14ac:dyDescent="0.25">
      <c r="A15" s="171" t="s">
        <v>256</v>
      </c>
      <c r="B15" s="171" t="s">
        <v>257</v>
      </c>
      <c r="C15" s="172">
        <v>18575</v>
      </c>
      <c r="D15" s="173">
        <f t="shared" si="0"/>
        <v>5572.5</v>
      </c>
      <c r="E15" s="173">
        <f t="shared" si="1"/>
        <v>24147.5</v>
      </c>
      <c r="F15" s="170" t="s">
        <v>330</v>
      </c>
    </row>
    <row r="16" spans="1:6" s="57" customFormat="1" x14ac:dyDescent="0.25">
      <c r="A16" s="171"/>
      <c r="B16" s="171" t="s">
        <v>270</v>
      </c>
      <c r="C16" s="172"/>
      <c r="D16" s="173"/>
      <c r="E16" s="173"/>
      <c r="F16" s="170" t="s">
        <v>331</v>
      </c>
    </row>
    <row r="17" spans="1:6" x14ac:dyDescent="0.25">
      <c r="A17" s="171" t="s">
        <v>258</v>
      </c>
      <c r="B17" s="171" t="s">
        <v>259</v>
      </c>
      <c r="C17" s="172">
        <v>375</v>
      </c>
      <c r="D17" s="173">
        <f t="shared" si="0"/>
        <v>112.5</v>
      </c>
      <c r="E17" s="173">
        <f>+C17+D17</f>
        <v>487.5</v>
      </c>
      <c r="F17" s="170" t="s">
        <v>330</v>
      </c>
    </row>
    <row r="18" spans="1:6" x14ac:dyDescent="0.25">
      <c r="A18" s="171" t="s">
        <v>260</v>
      </c>
      <c r="B18" s="171" t="s">
        <v>261</v>
      </c>
      <c r="C18" s="172">
        <v>1850</v>
      </c>
      <c r="D18" s="173">
        <f t="shared" si="0"/>
        <v>555</v>
      </c>
      <c r="E18" s="173">
        <f>+C18+D18</f>
        <v>2405</v>
      </c>
      <c r="F18" s="170" t="s">
        <v>330</v>
      </c>
    </row>
    <row r="19" spans="1:6" x14ac:dyDescent="0.25">
      <c r="A19" s="171" t="s">
        <v>262</v>
      </c>
      <c r="B19" s="171" t="s">
        <v>263</v>
      </c>
      <c r="C19" s="172">
        <f>+C21*9.5/100</f>
        <v>3325</v>
      </c>
      <c r="D19" s="173">
        <f t="shared" si="0"/>
        <v>997.5</v>
      </c>
      <c r="E19" s="173">
        <f>+C19+D19</f>
        <v>4322.5</v>
      </c>
      <c r="F19" s="170" t="s">
        <v>330</v>
      </c>
    </row>
    <row r="20" spans="1:6" x14ac:dyDescent="0.25">
      <c r="A20" s="171" t="s">
        <v>264</v>
      </c>
      <c r="B20" s="171" t="s">
        <v>265</v>
      </c>
      <c r="C20" s="172">
        <v>2500</v>
      </c>
      <c r="D20" s="173">
        <f t="shared" si="0"/>
        <v>750</v>
      </c>
      <c r="E20" s="173">
        <f>+C20+D20</f>
        <v>3250</v>
      </c>
      <c r="F20" s="170" t="s">
        <v>330</v>
      </c>
    </row>
    <row r="21" spans="1:6" x14ac:dyDescent="0.25">
      <c r="A21" s="171" t="s">
        <v>266</v>
      </c>
      <c r="B21" s="171" t="s">
        <v>267</v>
      </c>
      <c r="C21" s="172">
        <v>35000</v>
      </c>
      <c r="D21" s="173">
        <f t="shared" si="0"/>
        <v>10500</v>
      </c>
      <c r="E21" s="173">
        <f>+C21+D21</f>
        <v>45500</v>
      </c>
      <c r="F21" s="170" t="s">
        <v>330</v>
      </c>
    </row>
    <row r="22" spans="1:6" x14ac:dyDescent="0.25">
      <c r="A22" s="171"/>
      <c r="B22" s="171"/>
      <c r="C22" s="173">
        <f>+C3-SUM(C5:C21)</f>
        <v>8877.4484834398609</v>
      </c>
      <c r="D22" s="173">
        <f>+D3-SUM(D5:D21)</f>
        <v>3811.9194670512879</v>
      </c>
      <c r="E22" s="173">
        <f>+E3-SUM(E5:E21)</f>
        <v>12689.367950491171</v>
      </c>
      <c r="F22" s="170"/>
    </row>
  </sheetData>
  <mergeCells count="1">
    <mergeCell ref="A1:F1"/>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P78"/>
  <sheetViews>
    <sheetView topLeftCell="A43" zoomScale="81" zoomScaleNormal="81" workbookViewId="0">
      <selection activeCell="C52" sqref="C52"/>
    </sheetView>
  </sheetViews>
  <sheetFormatPr defaultColWidth="9.140625" defaultRowHeight="16.5" x14ac:dyDescent="0.3"/>
  <cols>
    <col min="1" max="1" width="22.5703125" style="1" customWidth="1"/>
    <col min="2" max="2" width="32" style="1" customWidth="1"/>
    <col min="3" max="6" width="15.7109375" style="1" customWidth="1"/>
    <col min="7" max="7" width="16.140625" style="1" bestFit="1" customWidth="1"/>
    <col min="8" max="8" width="14.5703125" style="1" customWidth="1"/>
    <col min="9" max="11" width="9.140625" style="1"/>
    <col min="12" max="13" width="0" style="1" hidden="1" customWidth="1"/>
    <col min="14" max="16384" width="9.140625" style="1"/>
  </cols>
  <sheetData>
    <row r="1" spans="1:7" ht="21" customHeight="1" x14ac:dyDescent="0.3">
      <c r="A1" s="329" t="str">
        <f>Instructions!D6</f>
        <v>ABC GROUP</v>
      </c>
      <c r="B1" s="330"/>
      <c r="C1" s="330"/>
      <c r="D1" s="330"/>
      <c r="E1" s="330"/>
      <c r="F1" s="330"/>
      <c r="G1" s="331"/>
    </row>
    <row r="2" spans="1:7" ht="20.25" customHeight="1" x14ac:dyDescent="0.3">
      <c r="A2" s="332"/>
      <c r="B2" s="333"/>
      <c r="C2" s="333"/>
      <c r="D2" s="333"/>
      <c r="E2" s="333"/>
      <c r="F2" s="333"/>
      <c r="G2" s="334"/>
    </row>
    <row r="3" spans="1:7" ht="25.5" x14ac:dyDescent="0.5">
      <c r="A3" s="352" t="s">
        <v>17</v>
      </c>
      <c r="B3" s="352"/>
      <c r="C3" s="352"/>
      <c r="D3" s="352"/>
      <c r="E3" s="352"/>
      <c r="F3" s="352"/>
      <c r="G3" s="352"/>
    </row>
    <row r="4" spans="1:7" ht="25.5" x14ac:dyDescent="0.5">
      <c r="A4" s="353" t="s">
        <v>196</v>
      </c>
      <c r="B4" s="353"/>
      <c r="C4" s="353"/>
      <c r="D4" s="353"/>
      <c r="E4" s="353"/>
      <c r="F4" s="353"/>
      <c r="G4" s="353"/>
    </row>
    <row r="5" spans="1:7" ht="25.5" x14ac:dyDescent="0.5">
      <c r="A5" s="324"/>
      <c r="B5" s="324"/>
      <c r="C5" s="324"/>
      <c r="D5" s="324"/>
      <c r="E5" s="324"/>
      <c r="F5" s="324"/>
      <c r="G5" s="324"/>
    </row>
    <row r="6" spans="1:7" s="2" customFormat="1" x14ac:dyDescent="0.25">
      <c r="A6" s="351" t="s">
        <v>24</v>
      </c>
      <c r="B6" s="351"/>
      <c r="C6" s="47" t="str">
        <f>+Instructions!D8</f>
        <v>ABC Pty Ltd</v>
      </c>
      <c r="D6" s="47" t="str">
        <f>+Instructions!D9</f>
        <v>XYZ Pty Ltd</v>
      </c>
      <c r="E6" s="47" t="str">
        <f>+Instructions!D10</f>
        <v>ABC Trust</v>
      </c>
      <c r="F6" s="47"/>
      <c r="G6" s="24" t="s">
        <v>3</v>
      </c>
    </row>
    <row r="7" spans="1:7" s="2" customFormat="1" x14ac:dyDescent="0.25">
      <c r="A7" s="325"/>
      <c r="B7" s="325"/>
      <c r="C7" s="325"/>
      <c r="D7" s="325"/>
      <c r="E7" s="325"/>
      <c r="F7" s="325"/>
      <c r="G7" s="325"/>
    </row>
    <row r="8" spans="1:7" s="2" customFormat="1" x14ac:dyDescent="0.25">
      <c r="A8" s="3" t="s">
        <v>35</v>
      </c>
      <c r="B8" s="45">
        <v>43921</v>
      </c>
      <c r="C8" s="46">
        <f>+'P&amp;L Projection'!C22</f>
        <v>8877.4484834398609</v>
      </c>
      <c r="D8" s="46"/>
      <c r="E8" s="46"/>
      <c r="F8" s="46"/>
      <c r="G8" s="4">
        <f>SUM(C8:F8)</f>
        <v>8877.4484834398609</v>
      </c>
    </row>
    <row r="9" spans="1:7" s="2" customFormat="1" ht="15" customHeight="1" x14ac:dyDescent="0.25">
      <c r="A9" s="326" t="s">
        <v>20</v>
      </c>
      <c r="B9" s="326"/>
      <c r="C9" s="326"/>
      <c r="D9" s="326"/>
      <c r="E9" s="326"/>
      <c r="F9" s="326"/>
      <c r="G9" s="326"/>
    </row>
    <row r="10" spans="1:7" s="2" customFormat="1" x14ac:dyDescent="0.25">
      <c r="A10" s="326"/>
      <c r="B10" s="326"/>
      <c r="C10" s="326"/>
      <c r="D10" s="326"/>
      <c r="E10" s="326"/>
      <c r="F10" s="326"/>
      <c r="G10" s="326"/>
    </row>
    <row r="11" spans="1:7" s="5" customFormat="1" x14ac:dyDescent="0.25">
      <c r="A11" s="313" t="s">
        <v>197</v>
      </c>
      <c r="B11" s="313"/>
      <c r="C11" s="44">
        <f>+'P&amp;L Projection'!E22</f>
        <v>12689.367950491171</v>
      </c>
      <c r="D11" s="44">
        <f>+D8</f>
        <v>0</v>
      </c>
      <c r="E11" s="44">
        <f>+E8</f>
        <v>0</v>
      </c>
      <c r="F11" s="44">
        <f>+F8</f>
        <v>0</v>
      </c>
      <c r="G11" s="4">
        <f>SUM(C11:F11)</f>
        <v>12689.367950491171</v>
      </c>
    </row>
    <row r="12" spans="1:7" s="2" customFormat="1" ht="15" customHeight="1" x14ac:dyDescent="0.25">
      <c r="A12" s="327" t="s">
        <v>10</v>
      </c>
      <c r="B12" s="327"/>
      <c r="C12" s="327"/>
      <c r="D12" s="327"/>
      <c r="E12" s="327"/>
      <c r="F12" s="327"/>
      <c r="G12" s="327"/>
    </row>
    <row r="13" spans="1:7" s="2" customFormat="1" x14ac:dyDescent="0.25">
      <c r="A13" s="317"/>
      <c r="B13" s="317"/>
      <c r="C13" s="43">
        <v>0</v>
      </c>
      <c r="D13" s="43">
        <v>0</v>
      </c>
      <c r="E13" s="43"/>
      <c r="F13" s="43">
        <v>0</v>
      </c>
      <c r="G13" s="4">
        <f>SUM(C13:F13)</f>
        <v>0</v>
      </c>
    </row>
    <row r="14" spans="1:7" s="2" customFormat="1" x14ac:dyDescent="0.25">
      <c r="A14" s="321" t="s">
        <v>452</v>
      </c>
      <c r="B14" s="321"/>
      <c r="C14" s="285">
        <f>-'Dep Schedule'!L17</f>
        <v>-936.75</v>
      </c>
      <c r="D14" s="43">
        <v>0</v>
      </c>
      <c r="E14" s="43"/>
      <c r="F14" s="43">
        <v>0</v>
      </c>
      <c r="G14" s="4">
        <f>SUM(C14:F14)</f>
        <v>-936.75</v>
      </c>
    </row>
    <row r="15" spans="1:7" s="2" customFormat="1" ht="15" customHeight="1" x14ac:dyDescent="0.25">
      <c r="A15" s="327" t="s">
        <v>11</v>
      </c>
      <c r="B15" s="327"/>
      <c r="C15" s="327"/>
      <c r="D15" s="327"/>
      <c r="E15" s="327"/>
      <c r="F15" s="327"/>
      <c r="G15" s="327"/>
    </row>
    <row r="16" spans="1:7" s="2" customFormat="1" ht="16.5" customHeight="1" x14ac:dyDescent="0.25">
      <c r="A16" s="314"/>
      <c r="B16" s="315"/>
      <c r="C16" s="315"/>
      <c r="D16" s="315"/>
      <c r="E16" s="315"/>
      <c r="F16" s="315"/>
      <c r="G16" s="316"/>
    </row>
    <row r="17" spans="1:13" s="2" customFormat="1" ht="16.5" customHeight="1" x14ac:dyDescent="0.25">
      <c r="A17" s="81"/>
      <c r="B17" s="82"/>
      <c r="C17" s="54">
        <v>0</v>
      </c>
      <c r="D17" s="54">
        <v>0</v>
      </c>
      <c r="E17" s="54">
        <v>0</v>
      </c>
      <c r="F17" s="54">
        <v>0</v>
      </c>
      <c r="G17" s="4">
        <f>SUM(C17:F17)</f>
        <v>0</v>
      </c>
    </row>
    <row r="18" spans="1:13" s="2" customFormat="1" ht="16.5" customHeight="1" x14ac:dyDescent="0.25">
      <c r="A18" s="81"/>
      <c r="B18" s="82"/>
      <c r="C18" s="54">
        <v>0</v>
      </c>
      <c r="D18" s="54">
        <v>0</v>
      </c>
      <c r="E18" s="54">
        <v>0</v>
      </c>
      <c r="F18" s="54">
        <v>0</v>
      </c>
      <c r="G18" s="4">
        <f t="shared" ref="G18:G34" si="0">SUM(C18:F18)</f>
        <v>0</v>
      </c>
    </row>
    <row r="19" spans="1:13" s="2" customFormat="1" ht="16.5" customHeight="1" x14ac:dyDescent="0.25">
      <c r="A19" s="81"/>
      <c r="B19" s="82"/>
      <c r="C19" s="54">
        <v>0</v>
      </c>
      <c r="D19" s="54">
        <v>0</v>
      </c>
      <c r="E19" s="54">
        <v>0</v>
      </c>
      <c r="F19" s="54">
        <v>0</v>
      </c>
      <c r="G19" s="4">
        <f t="shared" si="0"/>
        <v>0</v>
      </c>
    </row>
    <row r="20" spans="1:13" s="2" customFormat="1" ht="16.5" customHeight="1" x14ac:dyDescent="0.25">
      <c r="A20" s="81"/>
      <c r="B20" s="82"/>
      <c r="C20" s="54">
        <v>0</v>
      </c>
      <c r="D20" s="54">
        <v>0</v>
      </c>
      <c r="E20" s="54">
        <v>0</v>
      </c>
      <c r="F20" s="54">
        <v>0</v>
      </c>
      <c r="G20" s="4">
        <f t="shared" si="0"/>
        <v>0</v>
      </c>
    </row>
    <row r="21" spans="1:13" s="2" customFormat="1" ht="16.5" customHeight="1" x14ac:dyDescent="0.25">
      <c r="A21" s="81"/>
      <c r="B21" s="82"/>
      <c r="C21" s="54">
        <v>0</v>
      </c>
      <c r="D21" s="54">
        <v>0</v>
      </c>
      <c r="E21" s="54">
        <v>0</v>
      </c>
      <c r="F21" s="54">
        <v>0</v>
      </c>
      <c r="G21" s="4">
        <f t="shared" si="0"/>
        <v>0</v>
      </c>
    </row>
    <row r="22" spans="1:13" s="2" customFormat="1" ht="16.5" customHeight="1" x14ac:dyDescent="0.25">
      <c r="A22" s="81"/>
      <c r="B22" s="82"/>
      <c r="C22" s="54">
        <v>0</v>
      </c>
      <c r="D22" s="54">
        <v>0</v>
      </c>
      <c r="E22" s="54">
        <v>0</v>
      </c>
      <c r="F22" s="54">
        <v>0</v>
      </c>
      <c r="G22" s="4">
        <f t="shared" si="0"/>
        <v>0</v>
      </c>
    </row>
    <row r="23" spans="1:13" s="2" customFormat="1" ht="16.5" customHeight="1" x14ac:dyDescent="0.25">
      <c r="A23" s="81"/>
      <c r="B23" s="82"/>
      <c r="C23" s="54">
        <v>0</v>
      </c>
      <c r="D23" s="54">
        <v>0</v>
      </c>
      <c r="E23" s="54">
        <v>0</v>
      </c>
      <c r="F23" s="54">
        <v>0</v>
      </c>
      <c r="G23" s="4">
        <f t="shared" si="0"/>
        <v>0</v>
      </c>
    </row>
    <row r="24" spans="1:13" s="2" customFormat="1" ht="16.5" customHeight="1" x14ac:dyDescent="0.25">
      <c r="A24" s="318" t="s">
        <v>230</v>
      </c>
      <c r="B24" s="318"/>
      <c r="C24" s="54"/>
      <c r="D24" s="54"/>
      <c r="E24" s="55"/>
      <c r="F24" s="55"/>
      <c r="G24" s="4"/>
    </row>
    <row r="25" spans="1:13" s="2" customFormat="1" ht="33.75" customHeight="1" x14ac:dyDescent="0.25">
      <c r="A25" s="314" t="s">
        <v>445</v>
      </c>
      <c r="B25" s="316"/>
      <c r="C25" s="195">
        <f>-'Relief Package - Business'!C7</f>
        <v>-37000</v>
      </c>
      <c r="D25" s="195">
        <f>+'Relief Package - Business'!D7</f>
        <v>125000</v>
      </c>
      <c r="E25" s="55"/>
      <c r="F25" s="55"/>
      <c r="G25" s="4">
        <f t="shared" si="0"/>
        <v>88000</v>
      </c>
      <c r="L25" s="2" t="s">
        <v>41</v>
      </c>
    </row>
    <row r="26" spans="1:13" s="2" customFormat="1" ht="15.75" customHeight="1" x14ac:dyDescent="0.25">
      <c r="A26" s="177"/>
      <c r="B26" s="178"/>
      <c r="C26" s="195"/>
      <c r="D26" s="195"/>
      <c r="E26" s="55"/>
      <c r="F26" s="55"/>
      <c r="G26" s="4">
        <f t="shared" si="0"/>
        <v>0</v>
      </c>
    </row>
    <row r="27" spans="1:13" s="2" customFormat="1" ht="16.5" customHeight="1" x14ac:dyDescent="0.25">
      <c r="A27" s="314" t="s">
        <v>357</v>
      </c>
      <c r="B27" s="316"/>
      <c r="C27" s="195">
        <f>-'Relief Package - Business'!C12</f>
        <v>-13750</v>
      </c>
      <c r="D27" s="195">
        <f>+'Relief Package - Business'!D12</f>
        <v>75000.5</v>
      </c>
      <c r="E27" s="55"/>
      <c r="F27" s="55"/>
      <c r="G27" s="4">
        <f t="shared" si="0"/>
        <v>61250.5</v>
      </c>
      <c r="L27" s="2" t="s">
        <v>42</v>
      </c>
      <c r="M27" s="2" t="s">
        <v>232</v>
      </c>
    </row>
    <row r="28" spans="1:13" s="2" customFormat="1" ht="12.75" customHeight="1" x14ac:dyDescent="0.25">
      <c r="A28" s="314"/>
      <c r="B28" s="316"/>
      <c r="C28" s="195"/>
      <c r="D28" s="195"/>
      <c r="E28" s="55"/>
      <c r="F28" s="55"/>
      <c r="G28" s="4">
        <f t="shared" si="0"/>
        <v>0</v>
      </c>
    </row>
    <row r="29" spans="1:13" s="2" customFormat="1" ht="33" customHeight="1" x14ac:dyDescent="0.25">
      <c r="A29" s="314" t="s">
        <v>233</v>
      </c>
      <c r="B29" s="316"/>
      <c r="C29" s="195">
        <f>+'Relief Package - Business'!C19</f>
        <v>140000</v>
      </c>
      <c r="D29" s="195" t="str">
        <f>+'Relief Package - Business'!D19</f>
        <v>Not Applicable</v>
      </c>
      <c r="E29" s="55"/>
      <c r="F29" s="55"/>
      <c r="G29" s="4">
        <f t="shared" si="0"/>
        <v>140000</v>
      </c>
      <c r="L29" s="2">
        <f>IF(L27="No",1,2)</f>
        <v>1</v>
      </c>
    </row>
    <row r="30" spans="1:13" s="2" customFormat="1" ht="17.25" customHeight="1" x14ac:dyDescent="0.25">
      <c r="A30" s="314"/>
      <c r="B30" s="316"/>
      <c r="C30" s="195"/>
      <c r="D30" s="195"/>
      <c r="E30" s="55"/>
      <c r="F30" s="55"/>
      <c r="G30" s="4">
        <f t="shared" si="0"/>
        <v>0</v>
      </c>
    </row>
    <row r="31" spans="1:13" s="2" customFormat="1" ht="43.5" customHeight="1" x14ac:dyDescent="0.25">
      <c r="A31" s="314" t="s">
        <v>358</v>
      </c>
      <c r="B31" s="316"/>
      <c r="C31" s="195">
        <f>+'Relief Package - Business'!C24</f>
        <v>10500</v>
      </c>
      <c r="D31" s="195">
        <f>+'Relief Package - Business'!D24</f>
        <v>0</v>
      </c>
      <c r="E31" s="55"/>
      <c r="F31" s="55"/>
      <c r="G31" s="4">
        <f t="shared" si="0"/>
        <v>10500</v>
      </c>
    </row>
    <row r="32" spans="1:13" s="2" customFormat="1" ht="16.5" customHeight="1" x14ac:dyDescent="0.25">
      <c r="A32" s="314"/>
      <c r="B32" s="316"/>
      <c r="C32" s="195"/>
      <c r="D32" s="195"/>
      <c r="E32" s="55"/>
      <c r="F32" s="55"/>
      <c r="G32" s="4">
        <f t="shared" si="0"/>
        <v>0</v>
      </c>
    </row>
    <row r="33" spans="1:16" s="2" customFormat="1" ht="31.5" customHeight="1" x14ac:dyDescent="0.25">
      <c r="A33" s="314" t="s">
        <v>358</v>
      </c>
      <c r="B33" s="316"/>
      <c r="C33" s="195">
        <f>+'Relief Package - Business'!C27</f>
        <v>10500</v>
      </c>
      <c r="D33" s="195">
        <f>+'Relief Package - Business'!D27</f>
        <v>0</v>
      </c>
      <c r="E33" s="55"/>
      <c r="F33" s="55"/>
      <c r="G33" s="4">
        <f t="shared" si="0"/>
        <v>10500</v>
      </c>
    </row>
    <row r="34" spans="1:16" s="2" customFormat="1" ht="39" customHeight="1" x14ac:dyDescent="0.25">
      <c r="A34" s="314" t="s">
        <v>327</v>
      </c>
      <c r="B34" s="316"/>
      <c r="C34" s="196"/>
      <c r="D34" s="195"/>
      <c r="E34" s="55"/>
      <c r="F34" s="55"/>
      <c r="G34" s="4">
        <f t="shared" si="0"/>
        <v>0</v>
      </c>
      <c r="H34" s="197" t="s">
        <v>360</v>
      </c>
    </row>
    <row r="35" spans="1:16" s="2" customFormat="1" ht="16.5" customHeight="1" x14ac:dyDescent="0.25">
      <c r="A35" s="319"/>
      <c r="B35" s="320"/>
      <c r="C35" s="54"/>
      <c r="D35" s="54"/>
      <c r="E35" s="55"/>
      <c r="F35" s="55"/>
      <c r="G35" s="4"/>
    </row>
    <row r="36" spans="1:16" s="2" customFormat="1" x14ac:dyDescent="0.25">
      <c r="A36" s="317" t="str">
        <f>+C6</f>
        <v>ABC Pty Ltd</v>
      </c>
      <c r="B36" s="317"/>
      <c r="C36" s="54">
        <f>E65</f>
        <v>0</v>
      </c>
      <c r="D36" s="54">
        <f>E66</f>
        <v>0</v>
      </c>
      <c r="E36" s="55" t="s">
        <v>1</v>
      </c>
      <c r="F36" s="55">
        <f>+C63</f>
        <v>0</v>
      </c>
      <c r="G36" s="4">
        <f>SUM(C36:F36)</f>
        <v>0</v>
      </c>
    </row>
    <row r="37" spans="1:16" s="2" customFormat="1" x14ac:dyDescent="0.25">
      <c r="A37" s="317" t="str">
        <f>+D6</f>
        <v>XYZ Pty Ltd</v>
      </c>
      <c r="B37" s="317"/>
      <c r="C37" s="54">
        <f>F65</f>
        <v>0</v>
      </c>
      <c r="D37" s="54">
        <f>F66</f>
        <v>0</v>
      </c>
      <c r="E37" s="55" t="s">
        <v>1</v>
      </c>
      <c r="F37" s="55">
        <f>+D63</f>
        <v>0</v>
      </c>
      <c r="G37" s="4">
        <f>SUM(C37:F37)</f>
        <v>0</v>
      </c>
    </row>
    <row r="38" spans="1:16" s="2" customFormat="1" x14ac:dyDescent="0.25">
      <c r="A38" s="313" t="s">
        <v>198</v>
      </c>
      <c r="B38" s="313"/>
      <c r="C38" s="4">
        <f>SUM(C11:C37)</f>
        <v>122002.61795049117</v>
      </c>
      <c r="D38" s="4">
        <f>SUM(D11:D37)</f>
        <v>200000.5</v>
      </c>
      <c r="E38" s="4">
        <f>SUM(E11:E37)</f>
        <v>0</v>
      </c>
      <c r="F38" s="4">
        <f>SUM(F11:F37)</f>
        <v>0</v>
      </c>
      <c r="G38" s="4">
        <f>SUM(C38:F38)</f>
        <v>322003.11795049114</v>
      </c>
    </row>
    <row r="39" spans="1:16" s="2" customFormat="1" ht="7.35" customHeight="1" x14ac:dyDescent="0.25">
      <c r="A39" s="288"/>
      <c r="B39" s="288"/>
      <c r="C39" s="288"/>
      <c r="D39" s="288"/>
      <c r="E39" s="288"/>
      <c r="F39" s="288"/>
      <c r="G39" s="288"/>
    </row>
    <row r="40" spans="1:16" s="2" customFormat="1" ht="33" customHeight="1" x14ac:dyDescent="0.25">
      <c r="A40" s="355" t="s">
        <v>463</v>
      </c>
      <c r="B40" s="356"/>
      <c r="C40" s="6" t="s">
        <v>42</v>
      </c>
      <c r="D40" s="6" t="s">
        <v>41</v>
      </c>
      <c r="E40" s="6"/>
      <c r="F40" s="6" t="s">
        <v>41</v>
      </c>
      <c r="G40" s="4"/>
      <c r="P40" s="2" t="s">
        <v>41</v>
      </c>
    </row>
    <row r="41" spans="1:16" s="2" customFormat="1" x14ac:dyDescent="0.25">
      <c r="A41" s="313" t="s">
        <v>39</v>
      </c>
      <c r="B41" s="313"/>
      <c r="C41" s="6">
        <f>+IF(C40=0,0,IF(C40="YES",27.5%*C38,IF(C40="No",30%*C38,0)))</f>
        <v>36600.785385147348</v>
      </c>
      <c r="D41" s="6">
        <f>+IF(D40=0,0,IF(D40="YES",27.5%*D38,IF(D40="No",30%*D38,0)))</f>
        <v>55000.137500000004</v>
      </c>
      <c r="E41" s="6"/>
      <c r="F41" s="6">
        <f>+IF(F40=0,0,IF(F40="YES",27.5%*F38,IF(F40="No",30%*F38,0)))</f>
        <v>0</v>
      </c>
      <c r="G41" s="4">
        <f>SUM(C41:F41)</f>
        <v>91600.92288514736</v>
      </c>
      <c r="P41" s="2" t="s">
        <v>42</v>
      </c>
    </row>
    <row r="42" spans="1:16" s="2" customFormat="1" ht="15" customHeight="1" x14ac:dyDescent="0.25">
      <c r="A42" s="327" t="s">
        <v>8</v>
      </c>
      <c r="B42" s="327"/>
      <c r="C42" s="327"/>
      <c r="D42" s="327"/>
      <c r="E42" s="327"/>
      <c r="F42" s="327"/>
      <c r="G42" s="327"/>
    </row>
    <row r="43" spans="1:16" s="2" customFormat="1" ht="16.5" customHeight="1" x14ac:dyDescent="0.25">
      <c r="A43" s="322" t="s">
        <v>199</v>
      </c>
      <c r="B43" s="322"/>
      <c r="C43" s="43">
        <v>0</v>
      </c>
      <c r="D43" s="43"/>
      <c r="E43" s="43">
        <v>0</v>
      </c>
      <c r="F43" s="43">
        <v>0</v>
      </c>
      <c r="G43" s="4">
        <f>SUM(C43:F43)</f>
        <v>0</v>
      </c>
    </row>
    <row r="44" spans="1:16" s="2" customFormat="1" x14ac:dyDescent="0.25">
      <c r="A44" s="354" t="s">
        <v>65</v>
      </c>
      <c r="B44" s="354"/>
      <c r="C44" s="62">
        <v>0</v>
      </c>
      <c r="D44" s="62"/>
      <c r="E44" s="62">
        <v>0</v>
      </c>
      <c r="F44" s="62">
        <v>0</v>
      </c>
      <c r="G44" s="4">
        <f>SUM(C44:F44)</f>
        <v>0</v>
      </c>
    </row>
    <row r="45" spans="1:16" s="2" customFormat="1" x14ac:dyDescent="0.25">
      <c r="A45" s="327" t="s">
        <v>9</v>
      </c>
      <c r="B45" s="327"/>
      <c r="C45" s="327"/>
      <c r="D45" s="327"/>
      <c r="E45" s="327"/>
      <c r="F45" s="327"/>
      <c r="G45" s="327"/>
    </row>
    <row r="46" spans="1:16" s="2" customFormat="1" x14ac:dyDescent="0.25">
      <c r="A46" s="321" t="s">
        <v>59</v>
      </c>
      <c r="B46" s="321"/>
      <c r="C46" s="43">
        <v>0</v>
      </c>
      <c r="D46" s="43">
        <v>0</v>
      </c>
      <c r="E46" s="43"/>
      <c r="F46" s="43">
        <v>0</v>
      </c>
      <c r="G46" s="4">
        <f t="shared" ref="G46:G55" si="1">SUM(C46:F46)</f>
        <v>0</v>
      </c>
    </row>
    <row r="47" spans="1:16" s="2" customFormat="1" x14ac:dyDescent="0.25">
      <c r="A47" s="322" t="s">
        <v>199</v>
      </c>
      <c r="B47" s="322"/>
      <c r="C47" s="43">
        <v>0</v>
      </c>
      <c r="D47" s="43">
        <v>0</v>
      </c>
      <c r="E47" s="43">
        <v>0</v>
      </c>
      <c r="F47" s="43">
        <v>0</v>
      </c>
      <c r="G47" s="4">
        <f t="shared" si="1"/>
        <v>0</v>
      </c>
    </row>
    <row r="48" spans="1:16" s="2" customFormat="1" x14ac:dyDescent="0.25">
      <c r="A48" s="321"/>
      <c r="B48" s="321"/>
      <c r="C48" s="43">
        <v>0</v>
      </c>
      <c r="D48" s="43">
        <v>0</v>
      </c>
      <c r="E48" s="43"/>
      <c r="F48" s="43">
        <v>0</v>
      </c>
      <c r="G48" s="4">
        <f t="shared" si="1"/>
        <v>0</v>
      </c>
    </row>
    <row r="49" spans="1:7" s="2" customFormat="1" x14ac:dyDescent="0.25">
      <c r="A49" s="58"/>
      <c r="B49" s="58"/>
      <c r="C49" s="43"/>
      <c r="D49" s="43"/>
      <c r="E49" s="43"/>
      <c r="F49" s="43"/>
      <c r="G49" s="4"/>
    </row>
    <row r="50" spans="1:7" s="2" customFormat="1" x14ac:dyDescent="0.25">
      <c r="A50" s="313" t="s">
        <v>200</v>
      </c>
      <c r="B50" s="313"/>
      <c r="C50" s="7">
        <f>C38+SUM(C43:C48)</f>
        <v>122002.61795049117</v>
      </c>
      <c r="D50" s="7">
        <f>D38+SUM(D43:D48)</f>
        <v>200000.5</v>
      </c>
      <c r="E50" s="7">
        <f>E38+SUM(E43:E47)-E48</f>
        <v>0</v>
      </c>
      <c r="F50" s="7">
        <f>F38+SUM(F43:F48)</f>
        <v>0</v>
      </c>
      <c r="G50" s="4">
        <f t="shared" si="1"/>
        <v>322003.11795049114</v>
      </c>
    </row>
    <row r="51" spans="1:7" s="2" customFormat="1" ht="33" x14ac:dyDescent="0.25">
      <c r="A51" s="287" t="s">
        <v>463</v>
      </c>
      <c r="B51" s="287"/>
      <c r="C51" s="6" t="s">
        <v>42</v>
      </c>
      <c r="D51" s="6" t="s">
        <v>41</v>
      </c>
      <c r="E51" s="6"/>
      <c r="F51" s="6" t="s">
        <v>41</v>
      </c>
      <c r="G51" s="4"/>
    </row>
    <row r="52" spans="1:7" s="2" customFormat="1" x14ac:dyDescent="0.25">
      <c r="A52" s="313" t="s">
        <v>39</v>
      </c>
      <c r="B52" s="313"/>
      <c r="C52" s="6">
        <f>+IF(C51=0,0,IF(C51="YES",27.5%*C50,IF(C51="No",30%*C50,0)))</f>
        <v>36600.785385147348</v>
      </c>
      <c r="D52" s="6">
        <f>+IF(D51=0,0,IF(D51="YES",27.5%*D50,IF(D51="No",30%*D50,0)))</f>
        <v>55000.137500000004</v>
      </c>
      <c r="E52" s="6"/>
      <c r="F52" s="6">
        <f t="shared" ref="F52" si="2">+IF(F51=0,0,IF(F51="YES",27.5%*F50,IF(F51="No",30%*F50,0)))</f>
        <v>0</v>
      </c>
      <c r="G52" s="4">
        <f>SUM(C52:F52)</f>
        <v>91600.92288514736</v>
      </c>
    </row>
    <row r="53" spans="1:7" s="2" customFormat="1" x14ac:dyDescent="0.25">
      <c r="A53" s="287"/>
      <c r="B53" s="287"/>
      <c r="C53" s="7"/>
      <c r="D53" s="7"/>
      <c r="E53" s="7"/>
      <c r="F53" s="7"/>
      <c r="G53" s="4"/>
    </row>
    <row r="54" spans="1:7" s="2" customFormat="1" x14ac:dyDescent="0.25">
      <c r="A54" s="328" t="s">
        <v>446</v>
      </c>
      <c r="B54" s="328"/>
      <c r="C54" s="42">
        <v>0</v>
      </c>
      <c r="D54" s="42"/>
      <c r="E54" s="42"/>
      <c r="F54" s="59"/>
      <c r="G54" s="4">
        <f t="shared" si="1"/>
        <v>0</v>
      </c>
    </row>
    <row r="55" spans="1:7" s="2" customFormat="1" x14ac:dyDescent="0.25">
      <c r="A55" s="328" t="s">
        <v>2</v>
      </c>
      <c r="B55" s="328"/>
      <c r="C55" s="42">
        <v>0</v>
      </c>
      <c r="D55" s="42"/>
      <c r="E55" s="42"/>
      <c r="F55" s="59"/>
      <c r="G55" s="4">
        <f t="shared" si="1"/>
        <v>0</v>
      </c>
    </row>
    <row r="56" spans="1:7" s="2" customFormat="1" x14ac:dyDescent="0.25">
      <c r="A56" s="313" t="s">
        <v>28</v>
      </c>
      <c r="B56" s="313"/>
      <c r="C56" s="4">
        <f>SUM(C54:C55)</f>
        <v>0</v>
      </c>
      <c r="D56" s="4">
        <f>SUM(D54:D55)</f>
        <v>0</v>
      </c>
      <c r="E56" s="4"/>
      <c r="F56" s="8">
        <f>F55*0.275*0</f>
        <v>0</v>
      </c>
      <c r="G56" s="4">
        <f>SUM(C56:F56)</f>
        <v>0</v>
      </c>
    </row>
    <row r="57" spans="1:7" s="2" customFormat="1" ht="8.1" customHeight="1" x14ac:dyDescent="0.25">
      <c r="A57" s="341"/>
      <c r="B57" s="341"/>
      <c r="C57" s="341"/>
      <c r="D57" s="341"/>
      <c r="E57" s="341"/>
      <c r="F57" s="341"/>
      <c r="G57" s="341"/>
    </row>
    <row r="58" spans="1:7" s="2" customFormat="1" ht="15" customHeight="1" x14ac:dyDescent="0.25">
      <c r="A58" s="313" t="s">
        <v>46</v>
      </c>
      <c r="B58" s="313"/>
      <c r="C58" s="4">
        <f>C41-C52</f>
        <v>0</v>
      </c>
      <c r="D58" s="4">
        <f t="shared" ref="D58:G58" si="3">D41-D52</f>
        <v>0</v>
      </c>
      <c r="E58" s="4"/>
      <c r="F58" s="4">
        <f t="shared" si="3"/>
        <v>0</v>
      </c>
      <c r="G58" s="4">
        <f t="shared" si="3"/>
        <v>0</v>
      </c>
    </row>
    <row r="59" spans="1:7" ht="8.1" customHeight="1" x14ac:dyDescent="0.3">
      <c r="A59" s="346"/>
      <c r="B59" s="346"/>
      <c r="C59" s="346"/>
      <c r="D59" s="346"/>
      <c r="E59" s="346"/>
      <c r="F59" s="346"/>
      <c r="G59" s="346"/>
    </row>
    <row r="60" spans="1:7" ht="16.5" customHeight="1" x14ac:dyDescent="0.3">
      <c r="A60" s="313" t="s">
        <v>55</v>
      </c>
      <c r="B60" s="313"/>
      <c r="C60" s="313"/>
      <c r="D60" s="313"/>
      <c r="E60" s="313"/>
      <c r="F60" s="313"/>
      <c r="G60" s="50"/>
    </row>
    <row r="61" spans="1:7" s="2" customFormat="1" x14ac:dyDescent="0.25">
      <c r="A61" s="317"/>
      <c r="B61" s="317"/>
      <c r="C61" s="99"/>
      <c r="D61" s="100"/>
      <c r="E61" s="101"/>
      <c r="F61" s="43">
        <v>0</v>
      </c>
      <c r="G61" s="4"/>
    </row>
    <row r="62" spans="1:7" s="2" customFormat="1" x14ac:dyDescent="0.25">
      <c r="A62" s="314"/>
      <c r="B62" s="316"/>
      <c r="C62" s="102"/>
      <c r="D62" s="103"/>
      <c r="E62" s="101"/>
      <c r="F62" s="43">
        <v>0</v>
      </c>
      <c r="G62" s="4"/>
    </row>
    <row r="63" spans="1:7" s="2" customFormat="1" x14ac:dyDescent="0.25">
      <c r="A63" s="317"/>
      <c r="B63" s="317"/>
      <c r="C63" s="102"/>
      <c r="D63" s="102"/>
      <c r="E63" s="104"/>
      <c r="F63" s="43">
        <v>0</v>
      </c>
      <c r="G63" s="4"/>
    </row>
    <row r="64" spans="1:7" s="2" customFormat="1" x14ac:dyDescent="0.25">
      <c r="A64" s="317" t="str">
        <f>+E6</f>
        <v>ABC Trust</v>
      </c>
      <c r="B64" s="317"/>
      <c r="C64" s="102"/>
      <c r="D64" s="103"/>
      <c r="E64" s="104"/>
      <c r="F64" s="43">
        <f>+F50</f>
        <v>0</v>
      </c>
      <c r="G64" s="4"/>
    </row>
    <row r="65" spans="1:7" s="2" customFormat="1" x14ac:dyDescent="0.25">
      <c r="A65" s="317" t="str">
        <f>C6</f>
        <v>ABC Pty Ltd</v>
      </c>
      <c r="B65" s="317"/>
      <c r="C65" s="102"/>
      <c r="D65" s="103"/>
      <c r="E65" s="104"/>
      <c r="F65" s="43">
        <v>0</v>
      </c>
      <c r="G65" s="4"/>
    </row>
    <row r="66" spans="1:7" s="2" customFormat="1" x14ac:dyDescent="0.25">
      <c r="A66" s="317" t="str">
        <f>D6</f>
        <v>XYZ Pty Ltd</v>
      </c>
      <c r="B66" s="317"/>
      <c r="C66" s="102"/>
      <c r="D66" s="103"/>
      <c r="E66" s="104"/>
      <c r="F66" s="43">
        <v>0</v>
      </c>
      <c r="G66" s="4"/>
    </row>
    <row r="67" spans="1:7" s="2" customFormat="1" ht="16.5" customHeight="1" x14ac:dyDescent="0.25">
      <c r="A67" s="313" t="s">
        <v>56</v>
      </c>
      <c r="B67" s="313"/>
      <c r="C67" s="105"/>
      <c r="D67" s="106"/>
      <c r="E67" s="107"/>
      <c r="F67" s="53">
        <v>0</v>
      </c>
      <c r="G67" s="4"/>
    </row>
    <row r="68" spans="1:7" x14ac:dyDescent="0.3">
      <c r="A68" s="348" t="s">
        <v>21</v>
      </c>
      <c r="B68" s="349"/>
      <c r="C68" s="349"/>
      <c r="D68" s="349"/>
      <c r="E68" s="349"/>
      <c r="F68" s="349"/>
      <c r="G68" s="350"/>
    </row>
    <row r="69" spans="1:7" ht="16.5" customHeight="1" x14ac:dyDescent="0.3">
      <c r="A69" s="335" t="s">
        <v>57</v>
      </c>
      <c r="B69" s="336"/>
      <c r="C69" s="336"/>
      <c r="D69" s="336"/>
      <c r="E69" s="336"/>
      <c r="F69" s="336"/>
      <c r="G69" s="337"/>
    </row>
    <row r="70" spans="1:7" x14ac:dyDescent="0.3">
      <c r="A70" s="335"/>
      <c r="B70" s="336"/>
      <c r="C70" s="336"/>
      <c r="D70" s="336"/>
      <c r="E70" s="336"/>
      <c r="F70" s="336"/>
      <c r="G70" s="337"/>
    </row>
    <row r="71" spans="1:7" x14ac:dyDescent="0.3">
      <c r="A71" s="335"/>
      <c r="B71" s="336"/>
      <c r="C71" s="336"/>
      <c r="D71" s="336"/>
      <c r="E71" s="336"/>
      <c r="F71" s="336"/>
      <c r="G71" s="337"/>
    </row>
    <row r="72" spans="1:7" x14ac:dyDescent="0.3">
      <c r="A72" s="335"/>
      <c r="B72" s="336"/>
      <c r="C72" s="336"/>
      <c r="D72" s="336"/>
      <c r="E72" s="336"/>
      <c r="F72" s="336"/>
      <c r="G72" s="337"/>
    </row>
    <row r="73" spans="1:7" x14ac:dyDescent="0.3">
      <c r="A73" s="338"/>
      <c r="B73" s="339"/>
      <c r="C73" s="339"/>
      <c r="D73" s="339"/>
      <c r="E73" s="339"/>
      <c r="F73" s="339"/>
      <c r="G73" s="340"/>
    </row>
    <row r="74" spans="1:7" x14ac:dyDescent="0.3">
      <c r="A74" s="346"/>
      <c r="B74" s="346"/>
      <c r="C74" s="347"/>
      <c r="D74" s="347"/>
      <c r="E74" s="347"/>
      <c r="F74" s="347"/>
      <c r="G74" s="347"/>
    </row>
    <row r="75" spans="1:7" x14ac:dyDescent="0.3">
      <c r="A75" s="9" t="s">
        <v>36</v>
      </c>
      <c r="B75" s="84"/>
      <c r="C75" s="344"/>
      <c r="D75" s="344"/>
      <c r="E75" s="344"/>
      <c r="F75" s="344"/>
      <c r="G75" s="344"/>
    </row>
    <row r="76" spans="1:7" x14ac:dyDescent="0.3">
      <c r="A76" s="10" t="s">
        <v>37</v>
      </c>
      <c r="B76" s="11">
        <f>Instructions!E15</f>
        <v>0</v>
      </c>
      <c r="C76" s="345"/>
      <c r="D76" s="345"/>
      <c r="E76" s="345"/>
      <c r="F76" s="345"/>
      <c r="G76" s="345"/>
    </row>
    <row r="77" spans="1:7" ht="17.25" x14ac:dyDescent="0.3">
      <c r="A77" s="342"/>
      <c r="B77" s="342"/>
      <c r="C77" s="343"/>
      <c r="D77" s="343"/>
      <c r="E77" s="343"/>
      <c r="F77" s="343"/>
      <c r="G77" s="343"/>
    </row>
    <row r="78" spans="1:7" ht="21.95" customHeight="1" x14ac:dyDescent="0.3">
      <c r="A78" s="323"/>
      <c r="B78" s="323"/>
      <c r="C78" s="323"/>
      <c r="D78" s="323"/>
      <c r="E78" s="323"/>
      <c r="F78" s="323"/>
      <c r="G78" s="323"/>
    </row>
  </sheetData>
  <customSheetViews>
    <customSheetView guid="{021DB28E-2E98-411A-B70D-B795B40C598B}" showPageBreaks="1" fitToPage="1" printArea="1">
      <selection sqref="A1:G2"/>
      <pageMargins left="0.31496062992125984" right="0.27559055118110237" top="0.35433070866141736" bottom="0.39370078740157483" header="0.27559055118110237" footer="0.19685039370078741"/>
      <printOptions horizontalCentered="1"/>
      <pageSetup paperSize="9" scale="10" orientation="portrait" r:id="rId1"/>
      <headerFooter>
        <oddFooter>&amp;L© 2014 Change GPS Pty Ltd&amp;R&amp;G</oddFooter>
      </headerFooter>
    </customSheetView>
  </customSheetViews>
  <mergeCells count="60">
    <mergeCell ref="A1:G2"/>
    <mergeCell ref="A69:G73"/>
    <mergeCell ref="A57:G57"/>
    <mergeCell ref="A77:G77"/>
    <mergeCell ref="C75:G76"/>
    <mergeCell ref="A74:G74"/>
    <mergeCell ref="A59:G59"/>
    <mergeCell ref="A68:G68"/>
    <mergeCell ref="A6:B6"/>
    <mergeCell ref="A3:G3"/>
    <mergeCell ref="A4:G4"/>
    <mergeCell ref="A44:B44"/>
    <mergeCell ref="A40:B40"/>
    <mergeCell ref="A11:B11"/>
    <mergeCell ref="A13:B13"/>
    <mergeCell ref="A14:B14"/>
    <mergeCell ref="A78:G78"/>
    <mergeCell ref="A5:G5"/>
    <mergeCell ref="A7:G7"/>
    <mergeCell ref="A9:G10"/>
    <mergeCell ref="A12:G12"/>
    <mergeCell ref="A15:G15"/>
    <mergeCell ref="A42:G42"/>
    <mergeCell ref="A45:G45"/>
    <mergeCell ref="A62:B62"/>
    <mergeCell ref="A54:B54"/>
    <mergeCell ref="A55:B55"/>
    <mergeCell ref="A56:B56"/>
    <mergeCell ref="A50:B50"/>
    <mergeCell ref="A43:B43"/>
    <mergeCell ref="A34:B34"/>
    <mergeCell ref="A67:B67"/>
    <mergeCell ref="A64:B64"/>
    <mergeCell ref="A65:B65"/>
    <mergeCell ref="A66:B66"/>
    <mergeCell ref="A38:B38"/>
    <mergeCell ref="A60:B60"/>
    <mergeCell ref="A58:B58"/>
    <mergeCell ref="A46:B46"/>
    <mergeCell ref="A47:B47"/>
    <mergeCell ref="A48:B48"/>
    <mergeCell ref="A63:B63"/>
    <mergeCell ref="A41:B41"/>
    <mergeCell ref="A52:B52"/>
    <mergeCell ref="C60:D60"/>
    <mergeCell ref="E60:F60"/>
    <mergeCell ref="A16:G16"/>
    <mergeCell ref="A61:B61"/>
    <mergeCell ref="A24:B24"/>
    <mergeCell ref="A36:B36"/>
    <mergeCell ref="A37:B37"/>
    <mergeCell ref="A28:B28"/>
    <mergeCell ref="A32:B32"/>
    <mergeCell ref="A33:B33"/>
    <mergeCell ref="A25:B25"/>
    <mergeCell ref="A27:B27"/>
    <mergeCell ref="A29:B29"/>
    <mergeCell ref="A35:B35"/>
    <mergeCell ref="A31:B31"/>
    <mergeCell ref="A30:B30"/>
  </mergeCells>
  <dataValidations xWindow="557" yWindow="464" count="9">
    <dataValidation type="whole" operator="lessThanOrEqual" allowBlank="1" showInputMessage="1" showErrorMessage="1" errorTitle="NEGATIVE NUMBER REQUIRED!" error="Please enter a negative number for this cell." promptTitle="PAYG Instalments Paid" prompt="Enter a negative amount for the PAYG Instalments Paid." sqref="C55:D55" xr:uid="{00000000-0002-0000-0200-000000000000}">
      <formula1>0</formula1>
    </dataValidation>
    <dataValidation type="decimal" operator="lessThanOrEqual" allowBlank="1" showInputMessage="1" showErrorMessage="1" errorTitle="NEGATIVE NUMBER REQUIRED!" error="Please enter a negative amount in this cell.  Enter any positive tax planning adjustments in the cells below." promptTitle="Negative Tax Planning Adjustment" prompt="Enter a negative amount in this cell." sqref="C43:F44" xr:uid="{00000000-0002-0000-0200-000001000000}">
      <formula1>0</formula1>
    </dataValidation>
    <dataValidation type="whole" operator="lessThanOrEqual" allowBlank="1" showInputMessage="1" showErrorMessage="1" errorTitle="NEGATIVE NUMBER REQUIRED!" error="Please enter a negative number for this cell." promptTitle="Franking Credits / Other Offsets" prompt="Enter a negative amount for the Franking Credits / Other Offsets." sqref="C54:D54" xr:uid="{00000000-0002-0000-0200-000002000000}">
      <formula1>0</formula1>
    </dataValidation>
    <dataValidation allowBlank="1" showInputMessage="1" showErrorMessage="1" promptTitle="Undistributed Income" prompt="Undistributed Income MUST equal Zero to ensure the trust does not have income assessed to its trustee at the top marginal rate" sqref="A67:B67" xr:uid="{00000000-0002-0000-0200-000003000000}"/>
    <dataValidation type="decimal" operator="greaterThanOrEqual" allowBlank="1" showErrorMessage="1" errorTitle="POSITIVE NUMBER REQUIRED!" error="Please enter a positive amount in this cell.  Enter any negative accounting adjustments in the cells above." promptTitle="Positive Accounting Adjustment" prompt="Enter a positive number in this cell." sqref="C35:D37 E31 E17:F23 C17:D24" xr:uid="{00000000-0002-0000-0200-000004000000}">
      <formula1>0</formula1>
    </dataValidation>
    <dataValidation type="decimal" operator="lessThanOrEqual" allowBlank="1" showInputMessage="1" showErrorMessage="1" errorTitle="NEGATIVE NUMBER REQUIRED" error="Please enter a negative amount in this cell.  Enter any positive accounting adjustments in the cells below." promptTitle="Negative Accounting Adjustment" prompt="Enter a negative amount in this cell." sqref="C13:F14" xr:uid="{00000000-0002-0000-0200-000005000000}">
      <formula1>0</formula1>
    </dataValidation>
    <dataValidation type="decimal" operator="greaterThanOrEqual" allowBlank="1" showInputMessage="1" showErrorMessage="1" errorTitle="POSITIVE NUMBER REQUIRED!" error="Please enter a positive amount in this cell.  Enter any negative tax planning adjustments in the cells above." promptTitle="Positive Tax Planning Adjustment" prompt="Enter a positive number in this cell." sqref="C46:F49" xr:uid="{00000000-0002-0000-0200-000006000000}">
      <formula1>0</formula1>
    </dataValidation>
    <dataValidation type="list" allowBlank="1" showInputMessage="1" showErrorMessage="1" sqref="E25:E26" xr:uid="{00000000-0002-0000-0200-000007000000}">
      <formula1>$L$25:$L$27</formula1>
    </dataValidation>
    <dataValidation type="list" allowBlank="1" showInputMessage="1" showErrorMessage="1" sqref="C40:F40 C51:F51" xr:uid="{8319C7B2-825B-4F47-A9FB-98C1FB98CA61}">
      <formula1>$P$40:$P$41</formula1>
    </dataValidation>
  </dataValidations>
  <printOptions horizontalCentered="1"/>
  <pageMargins left="0.31496062992125984" right="0.27559055118110237" top="0.35433070866141736" bottom="0.39370078740157483" header="0.27559055118110237" footer="0.19685039370078741"/>
  <pageSetup paperSize="9" scale="71" orientation="portrait" r:id="rId2"/>
  <headerFooter>
    <oddFooter>&amp;L© 2014 Change GPS Pty Ltd&amp;R&amp;G</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XFD86"/>
  <sheetViews>
    <sheetView topLeftCell="A55" workbookViewId="0">
      <selection activeCell="C60" sqref="C60"/>
    </sheetView>
  </sheetViews>
  <sheetFormatPr defaultColWidth="9.140625" defaultRowHeight="16.5" x14ac:dyDescent="0.3"/>
  <cols>
    <col min="1" max="1" width="41.140625" style="1" bestFit="1" customWidth="1"/>
    <col min="2" max="2" width="32" style="1" customWidth="1"/>
    <col min="3" max="5" width="15.5703125" style="1" customWidth="1"/>
    <col min="6" max="6" width="17" style="1" customWidth="1"/>
    <col min="7" max="7" width="12.5703125" style="1" bestFit="1" customWidth="1"/>
    <col min="8" max="16384" width="9.140625" style="1"/>
  </cols>
  <sheetData>
    <row r="1" spans="1:7" ht="15.75" customHeight="1" x14ac:dyDescent="0.3">
      <c r="A1" s="380" t="str">
        <f>Instructions!D6</f>
        <v>ABC GROUP</v>
      </c>
      <c r="B1" s="381"/>
      <c r="C1" s="381"/>
      <c r="D1" s="381"/>
      <c r="E1" s="382"/>
    </row>
    <row r="2" spans="1:7" x14ac:dyDescent="0.3">
      <c r="A2" s="383"/>
      <c r="B2" s="384"/>
      <c r="C2" s="384"/>
      <c r="D2" s="384"/>
      <c r="E2" s="385"/>
    </row>
    <row r="3" spans="1:7" ht="25.5" x14ac:dyDescent="0.5">
      <c r="A3" s="389" t="s">
        <v>18</v>
      </c>
      <c r="B3" s="389"/>
      <c r="C3" s="389"/>
      <c r="D3" s="389"/>
      <c r="E3" s="389"/>
    </row>
    <row r="4" spans="1:7" ht="25.5" x14ac:dyDescent="0.5">
      <c r="A4" s="390" t="s">
        <v>196</v>
      </c>
      <c r="B4" s="390"/>
      <c r="C4" s="390"/>
      <c r="D4" s="390"/>
      <c r="E4" s="390"/>
    </row>
    <row r="5" spans="1:7" ht="17.25" x14ac:dyDescent="0.3">
      <c r="A5" s="369"/>
      <c r="B5" s="369"/>
      <c r="C5" s="369"/>
      <c r="D5" s="369"/>
      <c r="E5" s="369"/>
    </row>
    <row r="6" spans="1:7" x14ac:dyDescent="0.3">
      <c r="A6" s="374" t="s">
        <v>25</v>
      </c>
      <c r="B6" s="374"/>
      <c r="C6" s="47" t="str">
        <f>+Instructions!D11</f>
        <v>Mr. A</v>
      </c>
      <c r="D6" s="47" t="str">
        <f>+Instructions!D12</f>
        <v>Mrs. B</v>
      </c>
      <c r="E6" s="24" t="s">
        <v>3</v>
      </c>
    </row>
    <row r="7" spans="1:7" x14ac:dyDescent="0.3">
      <c r="A7" s="387" t="s">
        <v>229</v>
      </c>
      <c r="B7" s="388"/>
      <c r="C7" s="166">
        <v>0</v>
      </c>
      <c r="D7" s="166">
        <v>0</v>
      </c>
      <c r="E7" s="166"/>
    </row>
    <row r="8" spans="1:7" s="2" customFormat="1" x14ac:dyDescent="0.25">
      <c r="A8" s="12" t="s">
        <v>38</v>
      </c>
      <c r="B8" s="48"/>
      <c r="C8" s="46">
        <v>25000</v>
      </c>
      <c r="D8" s="46">
        <v>0</v>
      </c>
      <c r="E8" s="13">
        <f>SUM(C8:D8)</f>
        <v>25000</v>
      </c>
      <c r="F8" s="79"/>
      <c r="G8" s="51"/>
    </row>
    <row r="9" spans="1:7" s="2" customFormat="1" x14ac:dyDescent="0.25">
      <c r="A9" s="386" t="s">
        <v>44</v>
      </c>
      <c r="B9" s="386"/>
      <c r="C9" s="46">
        <v>275</v>
      </c>
      <c r="D9" s="46">
        <v>0</v>
      </c>
      <c r="E9" s="13">
        <f>SUM(C9:D9)</f>
        <v>275</v>
      </c>
      <c r="F9" s="79"/>
      <c r="G9" s="51"/>
    </row>
    <row r="10" spans="1:7" s="2" customFormat="1" ht="15.75" customHeight="1" x14ac:dyDescent="0.25">
      <c r="A10" s="326" t="s">
        <v>447</v>
      </c>
      <c r="B10" s="326"/>
      <c r="C10" s="326"/>
      <c r="D10" s="326"/>
      <c r="E10" s="326"/>
    </row>
    <row r="11" spans="1:7" s="2" customFormat="1" ht="15.75" customHeight="1" x14ac:dyDescent="0.25">
      <c r="A11" s="326"/>
      <c r="B11" s="326"/>
      <c r="C11" s="326"/>
      <c r="D11" s="326"/>
      <c r="E11" s="326"/>
    </row>
    <row r="12" spans="1:7" s="5" customFormat="1" x14ac:dyDescent="0.25">
      <c r="A12" s="358" t="s">
        <v>201</v>
      </c>
      <c r="B12" s="358"/>
      <c r="C12" s="49">
        <f>+C8</f>
        <v>25000</v>
      </c>
      <c r="D12" s="49">
        <f>+D8</f>
        <v>0</v>
      </c>
      <c r="E12" s="13">
        <f>SUM(C12:D12)</f>
        <v>25000</v>
      </c>
    </row>
    <row r="13" spans="1:7" s="5" customFormat="1" x14ac:dyDescent="0.25">
      <c r="A13" s="367" t="s">
        <v>58</v>
      </c>
      <c r="B13" s="367"/>
      <c r="C13" s="60">
        <v>0</v>
      </c>
      <c r="D13" s="60">
        <v>0</v>
      </c>
      <c r="E13" s="61">
        <f>+C13+D13</f>
        <v>0</v>
      </c>
      <c r="F13" s="83"/>
    </row>
    <row r="14" spans="1:7" s="2" customFormat="1" x14ac:dyDescent="0.25">
      <c r="A14" s="370" t="s">
        <v>7</v>
      </c>
      <c r="B14" s="371"/>
      <c r="C14" s="371"/>
      <c r="D14" s="371"/>
      <c r="E14" s="372"/>
    </row>
    <row r="15" spans="1:7" s="2" customFormat="1" x14ac:dyDescent="0.25">
      <c r="A15" s="367" t="s">
        <v>4</v>
      </c>
      <c r="B15" s="367"/>
      <c r="C15" s="46">
        <v>0</v>
      </c>
      <c r="D15" s="46"/>
      <c r="E15" s="13">
        <f t="shared" ref="E15:E21" si="0">SUM(C15:D15)</f>
        <v>0</v>
      </c>
    </row>
    <row r="16" spans="1:7" s="2" customFormat="1" x14ac:dyDescent="0.25">
      <c r="A16" s="367" t="s">
        <v>26</v>
      </c>
      <c r="B16" s="367"/>
      <c r="C16" s="46"/>
      <c r="D16" s="46"/>
      <c r="E16" s="13">
        <f t="shared" si="0"/>
        <v>0</v>
      </c>
    </row>
    <row r="17" spans="1:5 16384:16384" s="2" customFormat="1" x14ac:dyDescent="0.25">
      <c r="A17" s="391" t="s">
        <v>22</v>
      </c>
      <c r="B17" s="391"/>
      <c r="C17" s="14">
        <f>C16*30/70</f>
        <v>0</v>
      </c>
      <c r="D17" s="14">
        <f>D16*30/70</f>
        <v>0</v>
      </c>
      <c r="E17" s="15">
        <f t="shared" si="0"/>
        <v>0</v>
      </c>
    </row>
    <row r="18" spans="1:5 16384:16384" s="2" customFormat="1" x14ac:dyDescent="0.25">
      <c r="A18" s="367" t="s">
        <v>27</v>
      </c>
      <c r="B18" s="367"/>
      <c r="C18" s="46"/>
      <c r="D18" s="46"/>
      <c r="E18" s="13">
        <f t="shared" si="0"/>
        <v>0</v>
      </c>
    </row>
    <row r="19" spans="1:5 16384:16384" s="2" customFormat="1" x14ac:dyDescent="0.25">
      <c r="A19" s="367" t="s">
        <v>43</v>
      </c>
      <c r="B19" s="367"/>
      <c r="C19" s="46"/>
      <c r="D19" s="46"/>
      <c r="E19" s="13">
        <f t="shared" si="0"/>
        <v>0</v>
      </c>
    </row>
    <row r="20" spans="1:5 16384:16384" s="2" customFormat="1" x14ac:dyDescent="0.25">
      <c r="A20" s="367" t="s">
        <v>428</v>
      </c>
      <c r="B20" s="367"/>
      <c r="C20" s="46"/>
      <c r="D20" s="46"/>
      <c r="E20" s="13">
        <f t="shared" si="0"/>
        <v>0</v>
      </c>
    </row>
    <row r="21" spans="1:5 16384:16384" s="2" customFormat="1" x14ac:dyDescent="0.25">
      <c r="A21" s="367" t="s">
        <v>6</v>
      </c>
      <c r="B21" s="367"/>
      <c r="C21" s="46"/>
      <c r="D21" s="46"/>
      <c r="E21" s="13">
        <f t="shared" si="0"/>
        <v>0</v>
      </c>
    </row>
    <row r="22" spans="1:5 16384:16384" s="2" customFormat="1" x14ac:dyDescent="0.25">
      <c r="A22" s="176"/>
      <c r="B22" s="176"/>
      <c r="C22" s="46"/>
      <c r="D22" s="46"/>
      <c r="E22" s="13"/>
    </row>
    <row r="23" spans="1:5 16384:16384" s="2" customFormat="1" x14ac:dyDescent="0.25">
      <c r="A23" s="318" t="s">
        <v>221</v>
      </c>
      <c r="B23" s="318"/>
      <c r="C23" s="63"/>
      <c r="D23" s="63"/>
      <c r="E23" s="13"/>
    </row>
    <row r="24" spans="1:5 16384:16384" s="2" customFormat="1" x14ac:dyDescent="0.25">
      <c r="A24" s="321" t="s">
        <v>280</v>
      </c>
      <c r="B24" s="321"/>
      <c r="C24" s="184">
        <f>+'Relief Package - Individuals'!C4</f>
        <v>3850</v>
      </c>
      <c r="D24" s="184" t="str">
        <f>+'Relief Package - Individuals'!D4</f>
        <v>NA</v>
      </c>
      <c r="E24" s="13">
        <f t="shared" ref="E24:E32" si="1">SUM(C24:D24)</f>
        <v>3850</v>
      </c>
    </row>
    <row r="25" spans="1:5 16384:16384" s="2" customFormat="1" x14ac:dyDescent="0.25">
      <c r="A25" s="359"/>
      <c r="B25" s="359"/>
      <c r="C25" s="184"/>
      <c r="D25" s="167"/>
      <c r="E25" s="13">
        <f t="shared" si="1"/>
        <v>0</v>
      </c>
    </row>
    <row r="26" spans="1:5 16384:16384" s="2" customFormat="1" x14ac:dyDescent="0.25">
      <c r="A26" s="321" t="s">
        <v>275</v>
      </c>
      <c r="B26" s="321"/>
      <c r="C26" s="184">
        <f>+'Relief Package - Individuals'!C7</f>
        <v>750</v>
      </c>
      <c r="D26" s="184" t="str">
        <f>+'Relief Package - Individuals'!D7</f>
        <v>NA</v>
      </c>
      <c r="E26" s="13">
        <f t="shared" si="1"/>
        <v>750</v>
      </c>
    </row>
    <row r="27" spans="1:5 16384:16384" s="2" customFormat="1" x14ac:dyDescent="0.25">
      <c r="A27" s="359"/>
      <c r="B27" s="359"/>
      <c r="C27" s="184"/>
      <c r="D27" s="167"/>
      <c r="E27" s="13">
        <f t="shared" si="1"/>
        <v>0</v>
      </c>
    </row>
    <row r="28" spans="1:5 16384:16384" s="2" customFormat="1" x14ac:dyDescent="0.25">
      <c r="A28" s="359" t="s">
        <v>336</v>
      </c>
      <c r="B28" s="359"/>
      <c r="C28" s="184">
        <f>+'Relief Package - Individuals'!C15</f>
        <v>10500</v>
      </c>
      <c r="D28" s="184">
        <f>+'Relief Package - Individuals'!D15</f>
        <v>0</v>
      </c>
      <c r="E28" s="13">
        <f t="shared" si="1"/>
        <v>10500</v>
      </c>
    </row>
    <row r="29" spans="1:5 16384:16384" s="2" customFormat="1" x14ac:dyDescent="0.25">
      <c r="A29" s="181"/>
      <c r="B29" s="181"/>
      <c r="C29" s="184"/>
      <c r="D29" s="184"/>
      <c r="E29" s="13"/>
    </row>
    <row r="30" spans="1:5 16384:16384" s="2" customFormat="1" x14ac:dyDescent="0.25">
      <c r="A30" s="359" t="s">
        <v>336</v>
      </c>
      <c r="B30" s="359"/>
      <c r="C30" s="184">
        <f>+'Relief Package - Individuals'!C18</f>
        <v>10500</v>
      </c>
      <c r="D30" s="184">
        <f>+'Relief Package - Individuals'!D18</f>
        <v>0</v>
      </c>
      <c r="E30" s="13">
        <f t="shared" si="1"/>
        <v>10500</v>
      </c>
      <c r="XFD30" s="184"/>
    </row>
    <row r="31" spans="1:5 16384:16384" s="2" customFormat="1" x14ac:dyDescent="0.25">
      <c r="A31" s="359"/>
      <c r="B31" s="359"/>
      <c r="C31" s="184"/>
      <c r="D31" s="167"/>
      <c r="E31" s="13"/>
    </row>
    <row r="32" spans="1:5 16384:16384" s="2" customFormat="1" x14ac:dyDescent="0.25">
      <c r="A32" s="359" t="s">
        <v>284</v>
      </c>
      <c r="B32" s="359"/>
      <c r="C32" s="63">
        <f>+'Relief Package - Individuals'!C24</f>
        <v>324</v>
      </c>
      <c r="D32" s="63">
        <f>+'Relief Package - Individuals'!D24</f>
        <v>0</v>
      </c>
      <c r="E32" s="13">
        <f t="shared" si="1"/>
        <v>324</v>
      </c>
    </row>
    <row r="33" spans="1:13" s="2" customFormat="1" x14ac:dyDescent="0.25">
      <c r="A33" s="359"/>
      <c r="B33" s="359"/>
      <c r="C33" s="46"/>
      <c r="D33" s="46"/>
      <c r="E33" s="13"/>
    </row>
    <row r="34" spans="1:13" s="2" customFormat="1" x14ac:dyDescent="0.25">
      <c r="A34" s="357" t="s">
        <v>40</v>
      </c>
      <c r="B34" s="357"/>
      <c r="C34" s="357"/>
      <c r="D34" s="357"/>
      <c r="E34" s="357"/>
    </row>
    <row r="35" spans="1:13" s="2" customFormat="1" x14ac:dyDescent="0.25">
      <c r="A35" s="367"/>
      <c r="B35" s="367"/>
      <c r="C35" s="56"/>
      <c r="D35" s="56"/>
      <c r="E35" s="13">
        <f>SUM(C35:D35)</f>
        <v>0</v>
      </c>
    </row>
    <row r="36" spans="1:13" s="2" customFormat="1" x14ac:dyDescent="0.25">
      <c r="A36" s="359"/>
      <c r="B36" s="359"/>
      <c r="C36" s="46"/>
      <c r="D36" s="46"/>
      <c r="E36" s="13">
        <f>SUM(C36:D36)</f>
        <v>0</v>
      </c>
    </row>
    <row r="37" spans="1:13" s="2" customFormat="1" x14ac:dyDescent="0.25">
      <c r="A37" s="359"/>
      <c r="B37" s="359"/>
      <c r="C37" s="46"/>
      <c r="D37" s="46"/>
      <c r="E37" s="13">
        <f>SUM(C37:D37)</f>
        <v>0</v>
      </c>
    </row>
    <row r="38" spans="1:13" s="2" customFormat="1" x14ac:dyDescent="0.25">
      <c r="A38" s="358" t="s">
        <v>364</v>
      </c>
      <c r="B38" s="358"/>
      <c r="C38" s="16">
        <f xml:space="preserve"> SUM(C12:C37)</f>
        <v>50924</v>
      </c>
      <c r="D38" s="16">
        <f xml:space="preserve"> SUM(D12:D37)</f>
        <v>0</v>
      </c>
      <c r="E38" s="13">
        <f>SUM(C38:D38)</f>
        <v>50924</v>
      </c>
    </row>
    <row r="39" spans="1:13" s="2" customFormat="1" x14ac:dyDescent="0.25">
      <c r="A39" s="357" t="s">
        <v>61</v>
      </c>
      <c r="B39" s="357"/>
      <c r="C39" s="357"/>
      <c r="D39" s="357"/>
      <c r="E39" s="357"/>
    </row>
    <row r="40" spans="1:13" s="2" customFormat="1" x14ac:dyDescent="0.25">
      <c r="A40" s="359" t="s">
        <v>167</v>
      </c>
      <c r="B40" s="359"/>
      <c r="C40" s="46">
        <v>0</v>
      </c>
      <c r="D40" s="46">
        <v>0</v>
      </c>
      <c r="E40" s="13">
        <f t="shared" ref="E40:E46" si="2">SUM(C40:D40)</f>
        <v>0</v>
      </c>
    </row>
    <row r="41" spans="1:13" s="2" customFormat="1" x14ac:dyDescent="0.25">
      <c r="A41" s="359" t="s">
        <v>62</v>
      </c>
      <c r="B41" s="359"/>
      <c r="C41" s="46"/>
      <c r="D41" s="46"/>
      <c r="E41" s="13">
        <f t="shared" si="2"/>
        <v>0</v>
      </c>
    </row>
    <row r="42" spans="1:13" s="2" customFormat="1" x14ac:dyDescent="0.25">
      <c r="A42" s="359" t="s">
        <v>448</v>
      </c>
      <c r="B42" s="359"/>
      <c r="C42" s="46"/>
      <c r="D42" s="46"/>
      <c r="E42" s="13">
        <f t="shared" si="2"/>
        <v>0</v>
      </c>
    </row>
    <row r="43" spans="1:13" s="2" customFormat="1" x14ac:dyDescent="0.25">
      <c r="A43" s="359" t="s">
        <v>63</v>
      </c>
      <c r="B43" s="359"/>
      <c r="C43" s="46"/>
      <c r="D43" s="46"/>
      <c r="E43" s="13">
        <f t="shared" si="2"/>
        <v>0</v>
      </c>
    </row>
    <row r="44" spans="1:13" s="2" customFormat="1" x14ac:dyDescent="0.25">
      <c r="A44" s="359" t="s">
        <v>64</v>
      </c>
      <c r="B44" s="359"/>
      <c r="C44" s="46"/>
      <c r="D44" s="46"/>
      <c r="E44" s="13">
        <f t="shared" si="2"/>
        <v>0</v>
      </c>
    </row>
    <row r="45" spans="1:13" s="2" customFormat="1" x14ac:dyDescent="0.25">
      <c r="A45" s="359"/>
      <c r="B45" s="359"/>
      <c r="C45" s="46"/>
      <c r="D45" s="46"/>
      <c r="E45" s="13">
        <f t="shared" si="2"/>
        <v>0</v>
      </c>
      <c r="L45" s="2" t="s">
        <v>222</v>
      </c>
      <c r="M45" s="2" t="s">
        <v>223</v>
      </c>
    </row>
    <row r="46" spans="1:13" s="2" customFormat="1" x14ac:dyDescent="0.25">
      <c r="A46" s="358" t="s">
        <v>50</v>
      </c>
      <c r="B46" s="358"/>
      <c r="C46" s="16">
        <f>ROUNDDOWN(SUM(C38:C45), 0)</f>
        <v>50924</v>
      </c>
      <c r="D46" s="16">
        <f>ROUNDDOWN(SUM(D38:D45), 0)</f>
        <v>0</v>
      </c>
      <c r="E46" s="13">
        <f t="shared" si="2"/>
        <v>50924</v>
      </c>
      <c r="K46" s="2" t="s">
        <v>41</v>
      </c>
    </row>
    <row r="47" spans="1:13" s="2" customFormat="1" x14ac:dyDescent="0.25">
      <c r="A47" s="358" t="s">
        <v>51</v>
      </c>
      <c r="B47" s="358"/>
      <c r="C47" s="17">
        <f>IF(C46&gt;180000,0.49,IF(C46&gt;80000,0.39,IF(C46&gt;66667,0.345,IF(C46&gt;37000,0.36,IF(C46&gt;26668,0.21,IF(C46&gt;21335,0.29,IF(C46&gt;20542,0.19,0)))))))</f>
        <v>0.36</v>
      </c>
      <c r="D47" s="17">
        <f>IF(D46&gt;180000,0.49,IF(D46&gt;80000,0.39,IF(D46&gt;66667,0.345,IF(D46&gt;37000,0.36,IF(D46&gt;26668,0.21,IF(D46&gt;21335,0.29,IF(D46&gt;20542,0.19,0)))))))</f>
        <v>0</v>
      </c>
      <c r="E47" s="13"/>
      <c r="F47" s="18"/>
      <c r="K47" s="2" t="s">
        <v>42</v>
      </c>
    </row>
    <row r="48" spans="1:13" s="2" customFormat="1" x14ac:dyDescent="0.25">
      <c r="A48" s="357" t="s">
        <v>45</v>
      </c>
      <c r="B48" s="357"/>
      <c r="C48" s="357"/>
      <c r="D48" s="357"/>
      <c r="E48" s="357"/>
    </row>
    <row r="49" spans="1:10" s="2" customFormat="1" ht="2.25" customHeight="1" x14ac:dyDescent="0.25">
      <c r="A49" s="357"/>
      <c r="B49" s="357"/>
      <c r="C49" s="357"/>
      <c r="D49" s="357"/>
      <c r="E49" s="357"/>
    </row>
    <row r="50" spans="1:10" s="2" customFormat="1" x14ac:dyDescent="0.25">
      <c r="A50" s="360"/>
      <c r="B50" s="361"/>
      <c r="C50" s="63"/>
      <c r="D50" s="63"/>
      <c r="E50" s="13"/>
    </row>
    <row r="51" spans="1:10" s="2" customFormat="1" x14ac:dyDescent="0.25">
      <c r="A51" s="401"/>
      <c r="B51" s="402"/>
      <c r="C51" s="63"/>
      <c r="D51" s="63"/>
      <c r="E51" s="13"/>
    </row>
    <row r="52" spans="1:10" s="2" customFormat="1" x14ac:dyDescent="0.25">
      <c r="A52" s="362"/>
      <c r="B52" s="363"/>
      <c r="C52" s="63"/>
      <c r="D52" s="167"/>
      <c r="E52" s="13"/>
    </row>
    <row r="53" spans="1:10" s="2" customFormat="1" x14ac:dyDescent="0.25">
      <c r="A53" s="401"/>
      <c r="B53" s="402"/>
      <c r="C53" s="63"/>
      <c r="D53" s="63"/>
      <c r="E53" s="13"/>
    </row>
    <row r="54" spans="1:10" s="2" customFormat="1" x14ac:dyDescent="0.25">
      <c r="A54" s="362"/>
      <c r="B54" s="363"/>
      <c r="C54" s="63"/>
      <c r="D54" s="167"/>
      <c r="E54" s="13"/>
    </row>
    <row r="55" spans="1:10" s="2" customFormat="1" x14ac:dyDescent="0.25">
      <c r="A55" s="362"/>
      <c r="B55" s="363"/>
      <c r="C55" s="63"/>
      <c r="D55" s="63"/>
      <c r="E55" s="13"/>
    </row>
    <row r="56" spans="1:10" s="2" customFormat="1" x14ac:dyDescent="0.25">
      <c r="A56" s="362"/>
      <c r="B56" s="363"/>
      <c r="C56" s="46"/>
      <c r="D56" s="46"/>
      <c r="E56" s="13"/>
      <c r="H56" s="51"/>
      <c r="I56" s="51"/>
      <c r="J56" s="51"/>
    </row>
    <row r="57" spans="1:10" s="2" customFormat="1" x14ac:dyDescent="0.25">
      <c r="A57" s="358" t="s">
        <v>202</v>
      </c>
      <c r="B57" s="358"/>
      <c r="C57" s="16">
        <f>ROUNDDOWN((C46+SUM(C50:C56)), 0)</f>
        <v>50924</v>
      </c>
      <c r="D57" s="16">
        <f>ROUNDDOWN((D46+SUM(D50:D56)), 0)</f>
        <v>0</v>
      </c>
      <c r="E57" s="13">
        <f t="shared" ref="E57:E70" si="3">SUM(C57:D57)</f>
        <v>50924</v>
      </c>
      <c r="H57" s="51"/>
      <c r="I57" s="51"/>
      <c r="J57" s="51"/>
    </row>
    <row r="58" spans="1:10" s="2" customFormat="1" x14ac:dyDescent="0.25">
      <c r="A58" s="276" t="s">
        <v>186</v>
      </c>
      <c r="B58" s="276"/>
      <c r="C58" s="277">
        <f>IF(C57&gt;180000, (54097+(0.47*(C57-180000))), IF(C57&gt;90000, ((0.37*(C57-90000))+20797), IF(C57&gt;37000, (3572+(0.325*(C57-37000))), IF(C57&gt;18200, (0.19*(C57-18200)), 0))))</f>
        <v>8097.3</v>
      </c>
      <c r="D58" s="277">
        <f>IF(D57&gt;180000, (54097+(0.47*(D57-180000))), IF(D57&gt;90000, ((0.37*(D57-90000))+20797), IF(D57&gt;37000, (3572+(0.325*(D57-37000))), IF(D57&gt;18200, (0.19*(D57-18200)), 0))))</f>
        <v>0</v>
      </c>
      <c r="E58" s="13">
        <f t="shared" si="3"/>
        <v>8097.3</v>
      </c>
      <c r="H58" s="51"/>
      <c r="I58" s="51"/>
      <c r="J58" s="51"/>
    </row>
    <row r="59" spans="1:10" s="2" customFormat="1" x14ac:dyDescent="0.25">
      <c r="A59" s="364" t="s">
        <v>48</v>
      </c>
      <c r="B59" s="365"/>
      <c r="C59" s="277">
        <f>+C57*0.02</f>
        <v>1018.48</v>
      </c>
      <c r="D59" s="277">
        <f>+D57*0.02</f>
        <v>0</v>
      </c>
      <c r="E59" s="13">
        <f t="shared" si="3"/>
        <v>1018.48</v>
      </c>
      <c r="F59" s="18"/>
      <c r="G59" s="19"/>
      <c r="H59" s="51"/>
      <c r="I59" s="51"/>
      <c r="J59" s="51"/>
    </row>
    <row r="60" spans="1:10" s="2" customFormat="1" x14ac:dyDescent="0.25">
      <c r="A60" s="364" t="s">
        <v>224</v>
      </c>
      <c r="B60" s="365"/>
      <c r="C60" s="277">
        <v>0</v>
      </c>
      <c r="D60" s="277">
        <v>0</v>
      </c>
      <c r="E60" s="15">
        <f t="shared" si="3"/>
        <v>0</v>
      </c>
      <c r="F60" s="2" t="s">
        <v>461</v>
      </c>
      <c r="H60" s="51"/>
      <c r="I60" s="51"/>
      <c r="J60" s="51"/>
    </row>
    <row r="61" spans="1:10" s="2" customFormat="1" x14ac:dyDescent="0.25">
      <c r="A61" s="364" t="s">
        <v>49</v>
      </c>
      <c r="B61" s="365"/>
      <c r="C61" s="277">
        <f>IF(C57=0,0,IF(C57&gt;66667,0,IF(C57&gt;37000,(-445+0.015*(C57-37000)),IF(C57&lt;=37000,-445,))))</f>
        <v>-236.14000000000001</v>
      </c>
      <c r="D61" s="277">
        <f>IF(D57=0,0,IF(D57&gt;66667,0,IF(D57&gt;37000,(-445+0.015*(D57-37000)),IF(D57&lt;=37000,-445,))))</f>
        <v>0</v>
      </c>
      <c r="E61" s="15">
        <f t="shared" si="3"/>
        <v>-236.14000000000001</v>
      </c>
      <c r="H61" s="51"/>
      <c r="I61" s="51"/>
      <c r="J61" s="51"/>
    </row>
    <row r="62" spans="1:10" s="2" customFormat="1" x14ac:dyDescent="0.25">
      <c r="A62" s="364" t="s">
        <v>225</v>
      </c>
      <c r="B62" s="365"/>
      <c r="C62" s="277">
        <f>-IF(C57=0,0,IF(C57&lt;37000,255,IF(C57&lt;48000,255+(0.075*(C57-37000)),IF(C57&lt;90000,1080,IF(C57&lt;126000,(1080-0.03*(C57-90000)),IF(C57&gt;126000,0,))))))</f>
        <v>-1080</v>
      </c>
      <c r="D62" s="277">
        <f>-IF(D57=0,0,IF(D57&lt;37000,255,IF(D57&lt;48000,255+(0.075*(D57-37000)),IF(D57&lt;90000,1080,IF(D57&lt;126000,(1080-0.03*(D57-90000)),IF(D57&gt;126000,0,))))))</f>
        <v>0</v>
      </c>
      <c r="E62" s="13">
        <f t="shared" si="3"/>
        <v>-1080</v>
      </c>
      <c r="F62" s="20"/>
      <c r="G62" s="20"/>
      <c r="H62" s="52"/>
      <c r="I62" s="52"/>
      <c r="J62" s="51"/>
    </row>
    <row r="63" spans="1:10" s="2" customFormat="1" x14ac:dyDescent="0.25">
      <c r="A63" s="399" t="s">
        <v>226</v>
      </c>
      <c r="B63" s="400"/>
      <c r="C63" s="277">
        <f>IF(C64=0,0,IF(C64&gt;0,1.5/100*C57,))</f>
        <v>0</v>
      </c>
      <c r="D63" s="277">
        <f>IF(D64=0,0,IF(D64&gt;0,1.5/100*D57,))</f>
        <v>0</v>
      </c>
      <c r="E63" s="13">
        <f t="shared" si="3"/>
        <v>0</v>
      </c>
      <c r="F63" s="20"/>
      <c r="G63" s="20"/>
      <c r="H63" s="52"/>
      <c r="I63" s="52"/>
      <c r="J63" s="51"/>
    </row>
    <row r="64" spans="1:10" s="2" customFormat="1" x14ac:dyDescent="0.25">
      <c r="A64" s="164" t="s">
        <v>227</v>
      </c>
      <c r="B64" s="165" t="s">
        <v>228</v>
      </c>
      <c r="C64" s="277">
        <v>0</v>
      </c>
      <c r="D64" s="277">
        <v>0</v>
      </c>
      <c r="E64" s="13">
        <f t="shared" si="3"/>
        <v>0</v>
      </c>
      <c r="F64" s="20"/>
      <c r="G64" s="20"/>
      <c r="H64" s="52"/>
      <c r="I64" s="52"/>
      <c r="J64" s="51"/>
    </row>
    <row r="65" spans="1:10" s="2" customFormat="1" x14ac:dyDescent="0.25">
      <c r="A65" s="358" t="s">
        <v>0</v>
      </c>
      <c r="B65" s="358"/>
      <c r="C65" s="13">
        <f>SUM(C58:C64)</f>
        <v>7799.6400000000012</v>
      </c>
      <c r="D65" s="13">
        <f>SUM(D55:D64)</f>
        <v>0</v>
      </c>
      <c r="E65" s="13">
        <f t="shared" ref="E65" si="4">SUM(C65:D65)</f>
        <v>7799.6400000000012</v>
      </c>
      <c r="F65" s="20"/>
      <c r="G65" s="20"/>
      <c r="H65" s="52"/>
      <c r="I65" s="52"/>
      <c r="J65" s="51"/>
    </row>
    <row r="66" spans="1:10" s="2" customFormat="1" x14ac:dyDescent="0.3">
      <c r="A66" s="366"/>
      <c r="B66" s="366"/>
      <c r="C66" s="366"/>
      <c r="D66" s="366"/>
      <c r="E66" s="366"/>
    </row>
    <row r="67" spans="1:10" s="2" customFormat="1" x14ac:dyDescent="0.25">
      <c r="A67" s="206" t="s">
        <v>434</v>
      </c>
      <c r="B67" s="207"/>
      <c r="C67" s="46">
        <v>0</v>
      </c>
      <c r="D67" s="46">
        <v>0</v>
      </c>
      <c r="E67" s="13">
        <f t="shared" si="3"/>
        <v>0</v>
      </c>
    </row>
    <row r="68" spans="1:10" s="2" customFormat="1" x14ac:dyDescent="0.25">
      <c r="A68" s="289" t="s">
        <v>462</v>
      </c>
      <c r="B68" s="290"/>
      <c r="C68" s="46">
        <f>-C9</f>
        <v>-275</v>
      </c>
      <c r="D68" s="46"/>
      <c r="E68" s="13"/>
    </row>
    <row r="69" spans="1:10" s="2" customFormat="1" x14ac:dyDescent="0.25">
      <c r="A69" s="357" t="s">
        <v>2</v>
      </c>
      <c r="B69" s="357"/>
      <c r="C69" s="46">
        <v>-750</v>
      </c>
      <c r="D69" s="46">
        <v>0</v>
      </c>
      <c r="E69" s="13">
        <f t="shared" si="3"/>
        <v>-750</v>
      </c>
    </row>
    <row r="70" spans="1:10" s="2" customFormat="1" x14ac:dyDescent="0.25">
      <c r="A70" s="358" t="s">
        <v>0</v>
      </c>
      <c r="B70" s="358"/>
      <c r="C70" s="13">
        <f>SUM(C65:C69)</f>
        <v>6774.6400000000012</v>
      </c>
      <c r="D70" s="13">
        <f>SUM(D65:D69)</f>
        <v>0</v>
      </c>
      <c r="E70" s="13">
        <f t="shared" si="3"/>
        <v>6774.6400000000012</v>
      </c>
    </row>
    <row r="71" spans="1:10" ht="7.5" customHeight="1" x14ac:dyDescent="0.3">
      <c r="A71" s="366"/>
      <c r="B71" s="366"/>
      <c r="C71" s="366"/>
      <c r="D71" s="366"/>
      <c r="E71" s="366"/>
    </row>
    <row r="72" spans="1:10" ht="15" customHeight="1" x14ac:dyDescent="0.3">
      <c r="A72" s="313" t="s">
        <v>46</v>
      </c>
      <c r="B72" s="313"/>
      <c r="C72" s="13">
        <f>(IF(C46&gt;180000, (54547+(0.47*(C46-180000))), IF(C46&gt;80000, (17547+(0.37*(C46-80000))), IF(C46&gt;37000, (3572+(0.325*(C46-37000))), IF(C46&gt;18200, (0.19*(C46-18200)), 0))))+IF(C46&gt;26668, (0.02*C46), IF(C46&gt;21335, (0.1*(C46-21335)), 0))+IF(C46&gt;66667,0,IF(C46&gt;37000,(-445+0.015*(C46-37000)),IF(C46&gt;20542,-445,IF(C46&gt;18200, (-0.19*(C46-18200)), 0))))+SUM(C62:C69))-C70</f>
        <v>7799.6400000000012</v>
      </c>
      <c r="D72" s="13">
        <f>(IF(D46&gt;180000, (54547+(0.47*(D46-180000))), IF(D46&gt;80000, (17547+(0.37*(D46-80000))), IF(D46&gt;37000, (3572+(0.325*(D46-37000))), IF(D46&gt;18200, (0.19*(D46-18200)), 0))))+IF(D46&gt;26668, (0.02*D46), IF(D46&gt;21335, (0.1*(D46-21335)), 0))+IF(D46&gt;66667,0,IF(D46&gt;37000,(-445+0.015*(D46-37000)),IF(D46&gt;20542,-445,IF(D46&gt;18200, (-0.19*(D46-18200)), 0))))+SUM(D62:D69))-D70</f>
        <v>0</v>
      </c>
      <c r="E72" s="13">
        <f>SUM(C72:D72)</f>
        <v>7799.6400000000012</v>
      </c>
      <c r="F72" s="21"/>
    </row>
    <row r="73" spans="1:10" x14ac:dyDescent="0.3">
      <c r="A73" s="366"/>
      <c r="B73" s="366"/>
      <c r="C73" s="366"/>
      <c r="D73" s="366"/>
      <c r="E73" s="366"/>
    </row>
    <row r="74" spans="1:10" x14ac:dyDescent="0.3">
      <c r="A74" s="373" t="s">
        <v>21</v>
      </c>
      <c r="B74" s="373"/>
      <c r="C74" s="373"/>
      <c r="D74" s="373"/>
      <c r="E74" s="373"/>
      <c r="F74" s="22"/>
    </row>
    <row r="75" spans="1:10" x14ac:dyDescent="0.3">
      <c r="A75" s="392" t="s">
        <v>57</v>
      </c>
      <c r="B75" s="393"/>
      <c r="C75" s="393"/>
      <c r="D75" s="393"/>
      <c r="E75" s="394"/>
      <c r="F75" s="22"/>
    </row>
    <row r="76" spans="1:10" x14ac:dyDescent="0.3">
      <c r="A76" s="392"/>
      <c r="B76" s="393"/>
      <c r="C76" s="393"/>
      <c r="D76" s="393"/>
      <c r="E76" s="394"/>
      <c r="F76" s="22"/>
    </row>
    <row r="77" spans="1:10" x14ac:dyDescent="0.3">
      <c r="A77" s="392"/>
      <c r="B77" s="393"/>
      <c r="C77" s="393"/>
      <c r="D77" s="393"/>
      <c r="E77" s="394"/>
    </row>
    <row r="78" spans="1:10" x14ac:dyDescent="0.3">
      <c r="A78" s="392"/>
      <c r="B78" s="393"/>
      <c r="C78" s="393"/>
      <c r="D78" s="393"/>
      <c r="E78" s="394"/>
    </row>
    <row r="79" spans="1:10" x14ac:dyDescent="0.3">
      <c r="A79" s="395"/>
      <c r="B79" s="396"/>
      <c r="C79" s="396"/>
      <c r="D79" s="396"/>
      <c r="E79" s="397"/>
    </row>
    <row r="80" spans="1:10" x14ac:dyDescent="0.3">
      <c r="A80" s="378"/>
      <c r="B80" s="378"/>
      <c r="C80" s="378"/>
      <c r="D80" s="378"/>
      <c r="E80" s="378"/>
    </row>
    <row r="81" spans="1:5" x14ac:dyDescent="0.3">
      <c r="A81" s="378"/>
      <c r="B81" s="378"/>
      <c r="C81" s="379"/>
      <c r="D81" s="379"/>
      <c r="E81" s="379"/>
    </row>
    <row r="82" spans="1:5" x14ac:dyDescent="0.3">
      <c r="A82" s="9" t="s">
        <v>36</v>
      </c>
      <c r="B82" s="84"/>
      <c r="C82" s="377"/>
      <c r="D82" s="377"/>
      <c r="E82" s="377"/>
    </row>
    <row r="83" spans="1:5" x14ac:dyDescent="0.3">
      <c r="A83" s="10" t="s">
        <v>37</v>
      </c>
      <c r="B83" s="11">
        <f>Instructions!E15</f>
        <v>0</v>
      </c>
      <c r="C83" s="398"/>
      <c r="D83" s="398"/>
      <c r="E83" s="398"/>
    </row>
    <row r="84" spans="1:5" x14ac:dyDescent="0.3">
      <c r="A84" s="375"/>
      <c r="B84" s="375"/>
      <c r="C84" s="376"/>
      <c r="D84" s="376"/>
      <c r="E84" s="376"/>
    </row>
    <row r="85" spans="1:5" ht="21.95" customHeight="1" x14ac:dyDescent="0.3">
      <c r="A85" s="368"/>
      <c r="B85" s="368"/>
      <c r="C85" s="368"/>
      <c r="D85" s="368"/>
      <c r="E85" s="368"/>
    </row>
    <row r="86" spans="1:5" x14ac:dyDescent="0.3">
      <c r="C86" s="23"/>
      <c r="D86" s="23"/>
    </row>
  </sheetData>
  <customSheetViews>
    <customSheetView guid="{021DB28E-2E98-411A-B70D-B795B40C598B}" showPageBreaks="1" fitToPage="1" printArea="1">
      <selection activeCell="C6" sqref="C6"/>
      <pageMargins left="0.31496062992125984" right="0.27559055118110237" top="0.35433070866141736" bottom="0.39370078740157483" header="0.27559055118110237" footer="0.19685039370078741"/>
      <printOptions horizontalCentered="1"/>
      <pageSetup paperSize="9" scale="72" orientation="portrait" r:id="rId1"/>
      <headerFooter>
        <oddFooter>&amp;L© 2014 Change GPS Pty Ltd&amp;R&amp;G</oddFooter>
      </headerFooter>
    </customSheetView>
  </customSheetViews>
  <mergeCells count="70">
    <mergeCell ref="A54:B54"/>
    <mergeCell ref="A55:B55"/>
    <mergeCell ref="A73:E73"/>
    <mergeCell ref="A70:B70"/>
    <mergeCell ref="A65:B65"/>
    <mergeCell ref="A1:E2"/>
    <mergeCell ref="A9:B9"/>
    <mergeCell ref="A7:B7"/>
    <mergeCell ref="A42:B42"/>
    <mergeCell ref="A3:E3"/>
    <mergeCell ref="A4:E4"/>
    <mergeCell ref="A18:B18"/>
    <mergeCell ref="A21:B21"/>
    <mergeCell ref="A32:B32"/>
    <mergeCell ref="A19:B19"/>
    <mergeCell ref="A20:B20"/>
    <mergeCell ref="A40:B40"/>
    <mergeCell ref="A16:B16"/>
    <mergeCell ref="A17:B17"/>
    <mergeCell ref="A10:E11"/>
    <mergeCell ref="A12:B12"/>
    <mergeCell ref="A5:E5"/>
    <mergeCell ref="A34:E34"/>
    <mergeCell ref="A14:E14"/>
    <mergeCell ref="A48:E49"/>
    <mergeCell ref="A39:E39"/>
    <mergeCell ref="A6:B6"/>
    <mergeCell ref="A35:B35"/>
    <mergeCell ref="A36:B36"/>
    <mergeCell ref="A37:B37"/>
    <mergeCell ref="A33:B33"/>
    <mergeCell ref="A41:B41"/>
    <mergeCell ref="A43:B43"/>
    <mergeCell ref="A26:B26"/>
    <mergeCell ref="A27:B27"/>
    <mergeCell ref="A28:B28"/>
    <mergeCell ref="A31:B31"/>
    <mergeCell ref="A85:E85"/>
    <mergeCell ref="A72:B72"/>
    <mergeCell ref="A74:E74"/>
    <mergeCell ref="A71:E71"/>
    <mergeCell ref="A84:E84"/>
    <mergeCell ref="C82:E82"/>
    <mergeCell ref="A80:E81"/>
    <mergeCell ref="A75:E79"/>
    <mergeCell ref="C83:E83"/>
    <mergeCell ref="A60:B60"/>
    <mergeCell ref="A59:B59"/>
    <mergeCell ref="A63:B63"/>
    <mergeCell ref="A15:B15"/>
    <mergeCell ref="A13:B13"/>
    <mergeCell ref="A23:B23"/>
    <mergeCell ref="A24:B24"/>
    <mergeCell ref="A25:B25"/>
    <mergeCell ref="A69:B69"/>
    <mergeCell ref="A46:B46"/>
    <mergeCell ref="A47:B47"/>
    <mergeCell ref="A30:B30"/>
    <mergeCell ref="A38:B38"/>
    <mergeCell ref="A45:B45"/>
    <mergeCell ref="A44:B44"/>
    <mergeCell ref="A50:B50"/>
    <mergeCell ref="A56:B56"/>
    <mergeCell ref="A57:B57"/>
    <mergeCell ref="A61:B61"/>
    <mergeCell ref="A62:B62"/>
    <mergeCell ref="A66:E66"/>
    <mergeCell ref="A51:B51"/>
    <mergeCell ref="A52:B52"/>
    <mergeCell ref="A53:B53"/>
  </mergeCells>
  <dataValidations xWindow="963" yWindow="480" count="9">
    <dataValidation type="decimal" operator="greaterThanOrEqual" allowBlank="1" showInputMessage="1" showErrorMessage="1" errorTitle="POSITIVE NUMBER REQUIRED!" error="Please enter a posiive number into this cell." sqref="C12:D13" xr:uid="{00000000-0002-0000-0300-000000000000}">
      <formula1>0</formula1>
    </dataValidation>
    <dataValidation type="decimal" errorStyle="warning" operator="greaterThanOrEqual" allowBlank="1" showInputMessage="1" showErrorMessage="1" promptTitle="Tax Planning Adjustments" prompt="Enter a positive number (increased taxable income) or negative number (decreased taxable income) as required." sqref="C50:D50 C53:D53 C56:D56 C23:D23 C26:D26" xr:uid="{00000000-0002-0000-0300-000001000000}">
      <formula1>-9999999999999</formula1>
    </dataValidation>
    <dataValidation type="decimal" operator="greaterThanOrEqual" allowBlank="1" showErrorMessage="1" errorTitle="POSITIVE NUMBER REQUIRED!" error="Please enter a positive amount for each item of investment income." promptTitle="Investment Income" prompt="Enter a positive amount for each item of investment income." sqref="C8:D9 C15:D22 C31:D33" xr:uid="{00000000-0002-0000-0300-000002000000}">
      <formula1>0</formula1>
    </dataValidation>
    <dataValidation type="whole" operator="lessThanOrEqual" allowBlank="1" showInputMessage="1" showErrorMessage="1" errorTitle="NEGATIVE NUMBER REQUIRED!" error="Please enter a negative number for this cell." promptTitle="PAYG Instalments Paid" prompt="Enter a negative amount for the PAYG Instalments Paid." sqref="C69:D69" xr:uid="{00000000-0002-0000-0300-000003000000}">
      <formula1>0</formula1>
    </dataValidation>
    <dataValidation type="whole" operator="lessThanOrEqual" allowBlank="1" showInputMessage="1" showErrorMessage="1" errorTitle="NEGATIVE NUMBER REQUIRED!" error="Please enter a negative number for the tax deduction (to enable the formula below to correctly calculate the taxable income)." promptTitle="Tax Deductions" prompt="Enter a negative amount for each item." sqref="C41:D45" xr:uid="{00000000-0002-0000-0300-000005000000}">
      <formula1>0</formula1>
    </dataValidation>
    <dataValidation type="list" errorStyle="warning" operator="greaterThanOrEqual" allowBlank="1" showInputMessage="1" showErrorMessage="1" promptTitle="Tax Planning Adjustments" prompt="Enter a positive number (increased taxable income) or negative number (decreased taxable income) as required." sqref="C54:D54 C51:D51 C27:D27 C24:D24" xr:uid="{00000000-0002-0000-0300-000006000000}">
      <formula1>$K$46:$K$47</formula1>
    </dataValidation>
    <dataValidation type="list" errorStyle="warning" operator="greaterThanOrEqual" allowBlank="1" showInputMessage="1" showErrorMessage="1" promptTitle="Tax Planning Adjustments" prompt="Enter a positive number (increased taxable income) or negative number (decreased taxable income) as required." sqref="C52 C25" xr:uid="{00000000-0002-0000-0300-000007000000}">
      <formula1>$L$51:$L$52</formula1>
    </dataValidation>
    <dataValidation type="list" errorStyle="warning" operator="greaterThanOrEqual" allowBlank="1" showInputMessage="1" showErrorMessage="1" promptTitle="Tax Planning Adjustments" prompt="Enter a positive number (increased taxable income) or negative number (decreased taxable income) as required." sqref="C55:D55 C28:D30 XFD30" xr:uid="{00000000-0002-0000-0300-000008000000}">
      <formula1>$M$51:$M$52</formula1>
    </dataValidation>
    <dataValidation type="whole" operator="lessThanOrEqual" allowBlank="1" showInputMessage="1" showErrorMessage="1" errorTitle="NEGATIVE NUMBER REQUIRED!" error="Please enter a negative number for this cell." promptTitle="PAYG Withholding" prompt="Enter a negative amount for the estimated PAYG Withholding on Gross Wages." sqref="C67:D68" xr:uid="{00000000-0002-0000-0300-000004000000}">
      <formula1>0</formula1>
    </dataValidation>
  </dataValidations>
  <printOptions horizontalCentered="1"/>
  <pageMargins left="0.31496062992125984" right="0.27559055118110237" top="0.35433070866141736" bottom="0.39370078740157483" header="0.27559055118110237" footer="0.19685039370078741"/>
  <pageSetup paperSize="9" scale="59" orientation="portrait" r:id="rId2"/>
  <headerFooter>
    <oddFooter>&amp;L© 2014 Change GPS Pty Ltd&amp;R&amp;G</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287"/>
  <sheetViews>
    <sheetView tabSelected="1" view="pageBreakPreview" topLeftCell="A16" zoomScale="85" zoomScaleNormal="100" zoomScaleSheetLayoutView="85" workbookViewId="0">
      <selection activeCell="E14" sqref="E14"/>
    </sheetView>
  </sheetViews>
  <sheetFormatPr defaultColWidth="9.140625" defaultRowHeight="12.75" x14ac:dyDescent="0.2"/>
  <cols>
    <col min="1" max="1" width="4.42578125" style="256" customWidth="1"/>
    <col min="2" max="2" width="35.7109375" style="256" customWidth="1"/>
    <col min="3" max="4" width="16.5703125" style="273" bestFit="1" customWidth="1"/>
    <col min="5" max="10" width="15.42578125" style="273" customWidth="1"/>
    <col min="11" max="11" width="15.42578125" style="256" customWidth="1"/>
    <col min="12" max="12" width="4.7109375" style="256" customWidth="1"/>
    <col min="13" max="13" width="4.85546875" style="256" customWidth="1"/>
    <col min="14" max="16384" width="9.140625" style="256"/>
  </cols>
  <sheetData>
    <row r="1" spans="1:12" ht="21" x14ac:dyDescent="0.35">
      <c r="A1" s="252"/>
      <c r="B1" s="253" t="str">
        <f>+Instructions!D6</f>
        <v>ABC GROUP</v>
      </c>
      <c r="C1" s="254"/>
      <c r="D1" s="254"/>
      <c r="E1" s="254"/>
      <c r="F1" s="255"/>
      <c r="G1" s="255"/>
      <c r="H1" s="255"/>
      <c r="I1" s="255"/>
      <c r="J1" s="255"/>
      <c r="K1" s="252"/>
      <c r="L1" s="252"/>
    </row>
    <row r="2" spans="1:12" ht="21" x14ac:dyDescent="0.35">
      <c r="A2" s="252"/>
      <c r="B2" s="257" t="s">
        <v>433</v>
      </c>
      <c r="C2" s="254"/>
      <c r="D2" s="254"/>
      <c r="E2" s="254"/>
      <c r="F2" s="254"/>
      <c r="G2" s="254"/>
      <c r="H2" s="254"/>
      <c r="I2" s="254"/>
      <c r="J2" s="254"/>
      <c r="K2" s="252"/>
      <c r="L2" s="252"/>
    </row>
    <row r="3" spans="1:12" ht="21" x14ac:dyDescent="0.35">
      <c r="A3" s="252"/>
      <c r="B3" s="258">
        <v>44012</v>
      </c>
      <c r="C3" s="254"/>
      <c r="D3" s="254"/>
      <c r="E3" s="254"/>
      <c r="F3" s="254"/>
      <c r="G3" s="254"/>
      <c r="H3" s="254"/>
      <c r="I3" s="254"/>
      <c r="J3" s="254"/>
      <c r="K3" s="252"/>
      <c r="L3" s="252"/>
    </row>
    <row r="4" spans="1:12" ht="34.5" customHeight="1" x14ac:dyDescent="0.25">
      <c r="A4" s="252"/>
      <c r="B4" s="252"/>
      <c r="C4" s="259" t="str">
        <f>+Instructions!D8</f>
        <v>ABC Pty Ltd</v>
      </c>
      <c r="D4" s="259" t="str">
        <f>+Instructions!D9</f>
        <v>XYZ Pty Ltd</v>
      </c>
      <c r="E4" s="259" t="str">
        <f>+Instructions!D10</f>
        <v>ABC Trust</v>
      </c>
      <c r="F4" s="259" t="str">
        <f>+Instructions!D11</f>
        <v>Mr. A</v>
      </c>
      <c r="G4" s="259" t="str">
        <f>+Instructions!D12</f>
        <v>Mrs. B</v>
      </c>
      <c r="H4" s="260" t="s">
        <v>442</v>
      </c>
      <c r="I4" s="260" t="s">
        <v>443</v>
      </c>
      <c r="J4" s="260" t="s">
        <v>444</v>
      </c>
      <c r="K4" s="259" t="str">
        <f>+[1]Worksheet2!J7</f>
        <v>Total</v>
      </c>
      <c r="L4" s="261"/>
    </row>
    <row r="5" spans="1:12" ht="15.75" x14ac:dyDescent="0.25">
      <c r="A5" s="252"/>
      <c r="B5" s="252"/>
      <c r="C5" s="275"/>
      <c r="D5" s="275"/>
      <c r="E5" s="275"/>
      <c r="F5" s="275"/>
      <c r="G5" s="275"/>
      <c r="H5" s="275"/>
      <c r="I5" s="275"/>
      <c r="J5" s="275"/>
      <c r="K5" s="275"/>
      <c r="L5" s="262"/>
    </row>
    <row r="6" spans="1:12" ht="17.25" x14ac:dyDescent="0.3">
      <c r="A6" s="252"/>
      <c r="B6" s="274" t="str">
        <f>+[1]Worksheet2!A28</f>
        <v>Estimated Taxable Income</v>
      </c>
      <c r="C6" s="278">
        <f>+'Tax Estimate - Entity'!C38</f>
        <v>122002.61795049117</v>
      </c>
      <c r="D6" s="278">
        <f>+'Tax Estimate - Entity'!D38</f>
        <v>200000.5</v>
      </c>
      <c r="E6" s="278">
        <f>[1]Worksheet2!D8</f>
        <v>0</v>
      </c>
      <c r="F6" s="278">
        <f>[1]Worksheet2!E8</f>
        <v>0</v>
      </c>
      <c r="G6" s="278">
        <f>[1]Worksheet2!F8</f>
        <v>0</v>
      </c>
      <c r="H6" s="278">
        <f>[1]Worksheet2!G8</f>
        <v>0</v>
      </c>
      <c r="I6" s="278">
        <f>[1]Worksheet2!H8</f>
        <v>0</v>
      </c>
      <c r="J6" s="278">
        <f>[1]Worksheet2!I8</f>
        <v>0</v>
      </c>
      <c r="K6" s="278">
        <f>+SUM(C6:J6)</f>
        <v>322003.11795049114</v>
      </c>
      <c r="L6" s="263"/>
    </row>
    <row r="7" spans="1:12" ht="17.25" x14ac:dyDescent="0.3">
      <c r="A7" s="252"/>
      <c r="B7" s="252"/>
      <c r="C7" s="278"/>
      <c r="D7" s="278"/>
      <c r="E7" s="278"/>
      <c r="F7" s="278"/>
      <c r="G7" s="278"/>
      <c r="H7" s="278"/>
      <c r="I7" s="278"/>
      <c r="J7" s="278"/>
      <c r="K7" s="278"/>
      <c r="L7" s="263"/>
    </row>
    <row r="8" spans="1:12" ht="17.25" x14ac:dyDescent="0.3">
      <c r="A8" s="252"/>
      <c r="B8" s="274" t="str">
        <f>+[1]Worksheet2!A16</f>
        <v>Transfers:</v>
      </c>
      <c r="C8" s="278"/>
      <c r="D8" s="278"/>
      <c r="E8" s="278"/>
      <c r="F8" s="278"/>
      <c r="G8" s="278"/>
      <c r="H8" s="278"/>
      <c r="I8" s="278"/>
      <c r="J8" s="278"/>
      <c r="K8" s="278"/>
      <c r="L8" s="263"/>
    </row>
    <row r="9" spans="1:12" ht="17.25" x14ac:dyDescent="0.3">
      <c r="A9" s="252"/>
      <c r="B9" s="274" t="str">
        <f>+[1]Worksheet2!A17</f>
        <v>Salary From Company</v>
      </c>
      <c r="C9" s="278">
        <v>0</v>
      </c>
      <c r="D9" s="278"/>
      <c r="E9" s="278"/>
      <c r="F9" s="278">
        <f>+'Tax Estimate - Individual'!C20</f>
        <v>0</v>
      </c>
      <c r="G9" s="278">
        <f>+'Tax Estimate - Individual'!D20</f>
        <v>0</v>
      </c>
      <c r="H9" s="278"/>
      <c r="I9" s="278"/>
      <c r="J9" s="278"/>
      <c r="K9" s="278">
        <f t="shared" ref="K9:K16" si="0">+SUM(C9:J9)</f>
        <v>0</v>
      </c>
      <c r="L9" s="263"/>
    </row>
    <row r="10" spans="1:12" ht="17.25" x14ac:dyDescent="0.3">
      <c r="A10" s="252"/>
      <c r="B10" s="274" t="str">
        <f>+[1]Worksheet2!A18</f>
        <v>Beneficiary Distributions</v>
      </c>
      <c r="C10" s="278"/>
      <c r="D10" s="278"/>
      <c r="E10" s="278"/>
      <c r="F10" s="278">
        <f>+'Tax Estimate - Individual'!C35</f>
        <v>0</v>
      </c>
      <c r="G10" s="278">
        <f>+'Tax Estimate - Individual'!D35</f>
        <v>0</v>
      </c>
      <c r="H10" s="278"/>
      <c r="I10" s="278"/>
      <c r="J10" s="278"/>
      <c r="K10" s="278">
        <f t="shared" si="0"/>
        <v>0</v>
      </c>
      <c r="L10" s="263"/>
    </row>
    <row r="11" spans="1:12" ht="17.25" x14ac:dyDescent="0.3">
      <c r="A11" s="252"/>
      <c r="B11" s="274" t="str">
        <f>+[1]Worksheet2!A19</f>
        <v>Prior year tax losses</v>
      </c>
      <c r="C11" s="278"/>
      <c r="D11" s="278"/>
      <c r="E11" s="278"/>
      <c r="F11" s="278"/>
      <c r="G11" s="278"/>
      <c r="H11" s="278"/>
      <c r="I11" s="278"/>
      <c r="J11" s="278"/>
      <c r="K11" s="278">
        <f t="shared" si="0"/>
        <v>0</v>
      </c>
      <c r="L11" s="263"/>
    </row>
    <row r="12" spans="1:12" ht="17.25" x14ac:dyDescent="0.3">
      <c r="A12" s="252"/>
      <c r="B12" s="274" t="str">
        <f>+[1]Worksheet2!A22</f>
        <v>Other Adjustments</v>
      </c>
      <c r="C12" s="278"/>
      <c r="D12" s="278"/>
      <c r="E12" s="278"/>
      <c r="F12" s="278"/>
      <c r="G12" s="278"/>
      <c r="H12" s="278"/>
      <c r="I12" s="278"/>
      <c r="J12" s="278"/>
      <c r="K12" s="278">
        <f t="shared" si="0"/>
        <v>0</v>
      </c>
      <c r="L12" s="263"/>
    </row>
    <row r="13" spans="1:12" ht="17.25" x14ac:dyDescent="0.3">
      <c r="A13" s="252"/>
      <c r="B13" s="274" t="str">
        <f>+[1]Worksheet2!A23</f>
        <v>Other Adjustments</v>
      </c>
      <c r="C13" s="278"/>
      <c r="D13" s="278"/>
      <c r="E13" s="278"/>
      <c r="F13" s="278"/>
      <c r="G13" s="278"/>
      <c r="H13" s="278"/>
      <c r="I13" s="278"/>
      <c r="J13" s="278"/>
      <c r="K13" s="278">
        <f t="shared" si="0"/>
        <v>0</v>
      </c>
      <c r="L13" s="263"/>
    </row>
    <row r="14" spans="1:12" ht="17.25" x14ac:dyDescent="0.3">
      <c r="A14" s="252"/>
      <c r="B14" s="274" t="str">
        <f>+[1]Worksheet2!A24</f>
        <v>Other Adjustments</v>
      </c>
      <c r="C14" s="278"/>
      <c r="D14" s="278"/>
      <c r="E14" s="278"/>
      <c r="F14" s="278"/>
      <c r="G14" s="278"/>
      <c r="H14" s="278"/>
      <c r="I14" s="278"/>
      <c r="J14" s="278"/>
      <c r="K14" s="278">
        <f t="shared" si="0"/>
        <v>0</v>
      </c>
      <c r="L14" s="263"/>
    </row>
    <row r="15" spans="1:12" ht="17.25" x14ac:dyDescent="0.3">
      <c r="A15" s="252"/>
      <c r="B15" s="274" t="str">
        <f>+[1]Worksheet2!A25</f>
        <v>Other Adjustments</v>
      </c>
      <c r="C15" s="278"/>
      <c r="D15" s="278"/>
      <c r="E15" s="278"/>
      <c r="F15" s="278"/>
      <c r="G15" s="278"/>
      <c r="H15" s="278"/>
      <c r="I15" s="278"/>
      <c r="J15" s="278"/>
      <c r="K15" s="278">
        <f t="shared" si="0"/>
        <v>0</v>
      </c>
      <c r="L15" s="263"/>
    </row>
    <row r="16" spans="1:12" ht="17.25" x14ac:dyDescent="0.3">
      <c r="A16" s="252"/>
      <c r="B16" s="274" t="str">
        <f>+[1]Worksheet2!A26</f>
        <v>Other Adjustments</v>
      </c>
      <c r="C16" s="278"/>
      <c r="D16" s="278"/>
      <c r="E16" s="278"/>
      <c r="F16" s="278"/>
      <c r="G16" s="278"/>
      <c r="H16" s="278"/>
      <c r="I16" s="278"/>
      <c r="J16" s="278"/>
      <c r="K16" s="278">
        <f t="shared" si="0"/>
        <v>0</v>
      </c>
      <c r="L16" s="263"/>
    </row>
    <row r="17" spans="1:12" ht="17.25" x14ac:dyDescent="0.3">
      <c r="A17" s="252"/>
      <c r="B17" s="274"/>
      <c r="C17" s="278"/>
      <c r="D17" s="278"/>
      <c r="E17" s="278"/>
      <c r="F17" s="278"/>
      <c r="G17" s="278"/>
      <c r="H17" s="278"/>
      <c r="I17" s="278"/>
      <c r="J17" s="278"/>
      <c r="K17" s="278"/>
      <c r="L17" s="263"/>
    </row>
    <row r="18" spans="1:12" s="266" customFormat="1" ht="17.25" x14ac:dyDescent="0.3">
      <c r="A18" s="252"/>
      <c r="B18" s="274" t="str">
        <f>+[1]Worksheet2!A28</f>
        <v>Estimated Taxable Income</v>
      </c>
      <c r="C18" s="278">
        <f t="shared" ref="C18:I18" si="1">+SUM(C6:C16)</f>
        <v>122002.61795049117</v>
      </c>
      <c r="D18" s="278">
        <f t="shared" si="1"/>
        <v>200000.5</v>
      </c>
      <c r="E18" s="278">
        <f t="shared" si="1"/>
        <v>0</v>
      </c>
      <c r="F18" s="278">
        <f t="shared" si="1"/>
        <v>0</v>
      </c>
      <c r="G18" s="278">
        <f t="shared" si="1"/>
        <v>0</v>
      </c>
      <c r="H18" s="278">
        <f t="shared" si="1"/>
        <v>0</v>
      </c>
      <c r="I18" s="278">
        <f t="shared" si="1"/>
        <v>0</v>
      </c>
      <c r="J18" s="278">
        <f>[1]Worksheet2!I28</f>
        <v>0</v>
      </c>
      <c r="K18" s="278">
        <f>+SUM(C18:J18)</f>
        <v>322003.11795049114</v>
      </c>
      <c r="L18" s="265"/>
    </row>
    <row r="19" spans="1:12" ht="17.25" x14ac:dyDescent="0.3">
      <c r="A19" s="252"/>
      <c r="B19" s="274"/>
      <c r="C19" s="279"/>
      <c r="D19" s="279"/>
      <c r="E19" s="279"/>
      <c r="F19" s="279"/>
      <c r="G19" s="279"/>
      <c r="H19" s="279"/>
      <c r="I19" s="279"/>
      <c r="J19" s="279"/>
      <c r="K19" s="279"/>
      <c r="L19" s="263"/>
    </row>
    <row r="20" spans="1:12" s="266" customFormat="1" ht="17.25" x14ac:dyDescent="0.3">
      <c r="A20" s="252"/>
      <c r="B20" s="274" t="str">
        <f>[1]Worksheet2!A34</f>
        <v>Total Tax Payable</v>
      </c>
      <c r="C20" s="280">
        <f>+'Tax Estimate - Entity'!C52</f>
        <v>36600.785385147348</v>
      </c>
      <c r="D20" s="280">
        <f>+'Tax Estimate - Entity'!D52</f>
        <v>55000.137500000004</v>
      </c>
      <c r="E20" s="280">
        <f>+'Tax Estimate - Entity'!E52</f>
        <v>0</v>
      </c>
      <c r="F20" s="280">
        <f>+'Tax Estimate - Individual'!C57</f>
        <v>50924</v>
      </c>
      <c r="G20" s="280">
        <f>+'Tax Estimate - Individual'!D57</f>
        <v>0</v>
      </c>
      <c r="H20" s="280"/>
      <c r="I20" s="280"/>
      <c r="J20" s="280"/>
      <c r="K20" s="280">
        <f>+SUM(C20:J20)</f>
        <v>142524.92288514736</v>
      </c>
      <c r="L20" s="265"/>
    </row>
    <row r="21" spans="1:12" ht="17.25" x14ac:dyDescent="0.3">
      <c r="A21" s="252"/>
      <c r="B21" s="274"/>
      <c r="C21" s="267"/>
      <c r="D21" s="267"/>
      <c r="E21" s="267"/>
      <c r="F21" s="267"/>
      <c r="G21" s="267"/>
      <c r="H21" s="267"/>
      <c r="I21" s="267"/>
      <c r="J21" s="267"/>
      <c r="K21" s="267"/>
      <c r="L21" s="267"/>
    </row>
    <row r="22" spans="1:12" ht="17.25" x14ac:dyDescent="0.3">
      <c r="A22" s="252"/>
      <c r="B22" s="274"/>
      <c r="C22" s="267"/>
      <c r="D22" s="267"/>
      <c r="E22" s="267"/>
      <c r="F22" s="267"/>
      <c r="G22" s="267"/>
      <c r="H22" s="267"/>
      <c r="I22" s="267"/>
      <c r="J22" s="267"/>
      <c r="K22" s="267"/>
      <c r="L22" s="267"/>
    </row>
    <row r="23" spans="1:12" ht="17.25" x14ac:dyDescent="0.3">
      <c r="A23" s="252"/>
      <c r="B23" s="274" t="s">
        <v>429</v>
      </c>
      <c r="C23" s="268"/>
      <c r="D23" s="268"/>
      <c r="E23" s="268"/>
      <c r="F23" s="268"/>
      <c r="G23" s="268"/>
      <c r="H23" s="268"/>
      <c r="I23" s="268"/>
      <c r="J23" s="268"/>
      <c r="K23" s="268"/>
      <c r="L23" s="267"/>
    </row>
    <row r="24" spans="1:12" ht="17.25" x14ac:dyDescent="0.3">
      <c r="A24" s="252"/>
      <c r="B24" s="274" t="s">
        <v>430</v>
      </c>
      <c r="C24" s="281">
        <f>+'Tax Estimate - Entity'!C55</f>
        <v>0</v>
      </c>
      <c r="D24" s="281">
        <f>+'Tax Estimate - Entity'!D55</f>
        <v>0</v>
      </c>
      <c r="E24" s="281">
        <f>+'Tax Estimate - Entity'!E55</f>
        <v>0</v>
      </c>
      <c r="F24" s="281">
        <f>+'Tax Estimate - Individual'!C69</f>
        <v>-750</v>
      </c>
      <c r="G24" s="281">
        <f>+'Tax Estimate - Individual'!D69</f>
        <v>0</v>
      </c>
      <c r="H24" s="281">
        <v>0</v>
      </c>
      <c r="I24" s="281">
        <v>0</v>
      </c>
      <c r="J24" s="281">
        <v>0</v>
      </c>
      <c r="K24" s="281">
        <f>+SUM(C24:J24)</f>
        <v>-750</v>
      </c>
      <c r="L24" s="263"/>
    </row>
    <row r="25" spans="1:12" ht="17.25" x14ac:dyDescent="0.3">
      <c r="A25" s="252"/>
      <c r="B25" s="274" t="s">
        <v>177</v>
      </c>
      <c r="C25" s="281">
        <f>+'Tax Estimate - Entity'!C54</f>
        <v>0</v>
      </c>
      <c r="D25" s="281">
        <f>+'Tax Estimate - Entity'!D54</f>
        <v>0</v>
      </c>
      <c r="E25" s="281">
        <f>+'Tax Estimate - Entity'!E54</f>
        <v>0</v>
      </c>
      <c r="F25" s="281">
        <f>+'Tax Estimate - Individual'!C67</f>
        <v>0</v>
      </c>
      <c r="G25" s="281">
        <f>+'Tax Estimate - Individual'!D67</f>
        <v>0</v>
      </c>
      <c r="H25" s="281">
        <v>0</v>
      </c>
      <c r="I25" s="281">
        <v>0</v>
      </c>
      <c r="J25" s="281">
        <v>0</v>
      </c>
      <c r="K25" s="281">
        <f t="shared" ref="K25:K26" si="2">+SUM(C25:J25)</f>
        <v>0</v>
      </c>
      <c r="L25" s="263"/>
    </row>
    <row r="26" spans="1:12" ht="17.25" x14ac:dyDescent="0.3">
      <c r="A26" s="252"/>
      <c r="B26" s="274" t="s">
        <v>430</v>
      </c>
      <c r="C26" s="281">
        <v>0</v>
      </c>
      <c r="D26" s="281">
        <v>0</v>
      </c>
      <c r="E26" s="281">
        <v>0</v>
      </c>
      <c r="F26" s="281">
        <f>'Tax Estimate - Individual'!C68</f>
        <v>-275</v>
      </c>
      <c r="G26" s="281">
        <f>-'Tax Estimate - Individual'!D68</f>
        <v>0</v>
      </c>
      <c r="H26" s="281">
        <v>0</v>
      </c>
      <c r="I26" s="281">
        <v>0</v>
      </c>
      <c r="J26" s="281">
        <v>0</v>
      </c>
      <c r="K26" s="281">
        <f t="shared" si="2"/>
        <v>-275</v>
      </c>
      <c r="L26" s="263"/>
    </row>
    <row r="27" spans="1:12" ht="17.25" x14ac:dyDescent="0.3">
      <c r="A27" s="252"/>
      <c r="B27" s="274"/>
      <c r="C27" s="281"/>
      <c r="D27" s="281"/>
      <c r="E27" s="281"/>
      <c r="F27" s="281"/>
      <c r="G27" s="281"/>
      <c r="H27" s="282"/>
      <c r="I27" s="282"/>
      <c r="J27" s="282"/>
      <c r="K27" s="281"/>
      <c r="L27" s="263"/>
    </row>
    <row r="28" spans="1:12" ht="17.25" x14ac:dyDescent="0.3">
      <c r="A28" s="252"/>
      <c r="B28" s="274" t="s">
        <v>431</v>
      </c>
      <c r="C28" s="283">
        <f t="shared" ref="C28:J28" si="3">+C20-SUM(C24:C26)</f>
        <v>36600.785385147348</v>
      </c>
      <c r="D28" s="283">
        <f t="shared" si="3"/>
        <v>55000.137500000004</v>
      </c>
      <c r="E28" s="283">
        <f t="shared" si="3"/>
        <v>0</v>
      </c>
      <c r="F28" s="283">
        <f t="shared" si="3"/>
        <v>51949</v>
      </c>
      <c r="G28" s="283">
        <f t="shared" si="3"/>
        <v>0</v>
      </c>
      <c r="H28" s="283">
        <f t="shared" si="3"/>
        <v>0</v>
      </c>
      <c r="I28" s="283">
        <f t="shared" si="3"/>
        <v>0</v>
      </c>
      <c r="J28" s="283">
        <f t="shared" si="3"/>
        <v>0</v>
      </c>
      <c r="K28" s="283">
        <f>+K19-SUM(K24:K26)</f>
        <v>1025</v>
      </c>
      <c r="L28" s="269"/>
    </row>
    <row r="29" spans="1:12" ht="17.25" x14ac:dyDescent="0.3">
      <c r="A29" s="252"/>
      <c r="B29" s="274"/>
      <c r="C29" s="267"/>
      <c r="D29" s="267"/>
      <c r="E29" s="267"/>
      <c r="F29" s="267"/>
      <c r="G29" s="267"/>
      <c r="H29" s="267"/>
      <c r="I29" s="267"/>
      <c r="J29" s="267"/>
      <c r="K29" s="267"/>
      <c r="L29" s="267"/>
    </row>
    <row r="30" spans="1:12" ht="17.25" x14ac:dyDescent="0.3">
      <c r="A30" s="252"/>
      <c r="B30" s="274"/>
      <c r="C30" s="270"/>
      <c r="D30" s="270"/>
      <c r="E30" s="270"/>
      <c r="F30" s="270"/>
      <c r="G30" s="270"/>
      <c r="H30" s="270"/>
      <c r="I30" s="270"/>
      <c r="J30" s="270"/>
      <c r="K30" s="270"/>
      <c r="L30" s="267"/>
    </row>
    <row r="31" spans="1:12" ht="17.25" x14ac:dyDescent="0.3">
      <c r="A31" s="252"/>
      <c r="B31" s="274"/>
      <c r="C31" s="267"/>
      <c r="D31" s="267"/>
      <c r="E31" s="267"/>
      <c r="F31" s="267"/>
      <c r="G31" s="267"/>
      <c r="H31" s="267"/>
      <c r="I31" s="267"/>
      <c r="J31" s="267"/>
      <c r="K31" s="267"/>
      <c r="L31" s="267"/>
    </row>
    <row r="32" spans="1:12" ht="16.5" customHeight="1" x14ac:dyDescent="0.3">
      <c r="A32" s="252"/>
      <c r="B32" s="274"/>
      <c r="C32" s="271"/>
      <c r="D32" s="271"/>
      <c r="E32" s="271"/>
      <c r="F32" s="271"/>
      <c r="G32" s="271"/>
      <c r="H32" s="271"/>
      <c r="I32" s="271"/>
      <c r="J32" s="271"/>
      <c r="K32" s="272"/>
      <c r="L32" s="252"/>
    </row>
    <row r="33" spans="1:12" ht="7.5" customHeight="1" x14ac:dyDescent="0.25">
      <c r="A33" s="252"/>
      <c r="B33" s="264"/>
      <c r="C33" s="271"/>
      <c r="D33" s="271"/>
      <c r="E33" s="271"/>
      <c r="F33" s="271"/>
      <c r="G33" s="271"/>
      <c r="H33" s="271"/>
      <c r="I33" s="271"/>
      <c r="J33" s="271"/>
      <c r="K33" s="272"/>
      <c r="L33" s="252"/>
    </row>
    <row r="44" spans="1:12" s="273" customFormat="1" x14ac:dyDescent="0.2"/>
    <row r="45" spans="1:12" s="273" customFormat="1" x14ac:dyDescent="0.2"/>
    <row r="46" spans="1:12" s="273" customFormat="1" x14ac:dyDescent="0.2"/>
    <row r="47" spans="1:12" s="273" customFormat="1" x14ac:dyDescent="0.2"/>
    <row r="48" spans="1:12" s="273" customFormat="1" x14ac:dyDescent="0.2"/>
    <row r="49" s="273" customFormat="1" x14ac:dyDescent="0.2"/>
    <row r="50" s="273" customFormat="1" x14ac:dyDescent="0.2"/>
    <row r="51" s="273" customFormat="1" x14ac:dyDescent="0.2"/>
    <row r="52" s="273" customFormat="1" x14ac:dyDescent="0.2"/>
    <row r="53" s="273" customFormat="1" x14ac:dyDescent="0.2"/>
    <row r="54" s="273" customFormat="1" x14ac:dyDescent="0.2"/>
    <row r="55" s="273" customFormat="1" x14ac:dyDescent="0.2"/>
    <row r="56" s="273" customFormat="1" x14ac:dyDescent="0.2"/>
    <row r="57" s="273" customFormat="1" x14ac:dyDescent="0.2"/>
    <row r="58" s="273" customFormat="1" x14ac:dyDescent="0.2"/>
    <row r="59" s="273" customFormat="1" x14ac:dyDescent="0.2"/>
    <row r="60" s="273" customFormat="1" x14ac:dyDescent="0.2"/>
    <row r="61" s="273" customFormat="1" x14ac:dyDescent="0.2"/>
    <row r="62" s="273" customFormat="1" x14ac:dyDescent="0.2"/>
    <row r="63" s="273" customFormat="1" x14ac:dyDescent="0.2"/>
    <row r="64" s="273" customFormat="1" x14ac:dyDescent="0.2"/>
    <row r="65" s="273" customFormat="1" x14ac:dyDescent="0.2"/>
    <row r="66" s="273" customFormat="1" x14ac:dyDescent="0.2"/>
    <row r="67" s="273" customFormat="1" x14ac:dyDescent="0.2"/>
    <row r="68" s="273" customFormat="1" x14ac:dyDescent="0.2"/>
    <row r="69" s="273" customFormat="1" x14ac:dyDescent="0.2"/>
    <row r="70" s="273" customFormat="1" x14ac:dyDescent="0.2"/>
    <row r="71" s="273" customFormat="1" x14ac:dyDescent="0.2"/>
    <row r="72" s="273" customFormat="1" x14ac:dyDescent="0.2"/>
    <row r="73" s="273" customFormat="1" x14ac:dyDescent="0.2"/>
    <row r="74" s="273" customFormat="1" x14ac:dyDescent="0.2"/>
    <row r="75" s="273" customFormat="1" x14ac:dyDescent="0.2"/>
    <row r="76" s="273" customFormat="1" x14ac:dyDescent="0.2"/>
    <row r="77" s="273" customFormat="1" x14ac:dyDescent="0.2"/>
    <row r="78" s="273" customFormat="1" x14ac:dyDescent="0.2"/>
    <row r="79" s="273" customFormat="1" x14ac:dyDescent="0.2"/>
    <row r="80" s="273" customFormat="1" x14ac:dyDescent="0.2"/>
    <row r="81" s="273" customFormat="1" x14ac:dyDescent="0.2"/>
    <row r="82" s="273" customFormat="1" x14ac:dyDescent="0.2"/>
    <row r="83" s="273" customFormat="1" x14ac:dyDescent="0.2"/>
    <row r="84" s="273" customFormat="1" x14ac:dyDescent="0.2"/>
    <row r="85" s="273" customFormat="1" x14ac:dyDescent="0.2"/>
    <row r="86" s="273" customFormat="1" x14ac:dyDescent="0.2"/>
    <row r="87" s="273" customFormat="1" x14ac:dyDescent="0.2"/>
    <row r="88" s="273" customFormat="1" x14ac:dyDescent="0.2"/>
    <row r="89" s="273" customFormat="1" x14ac:dyDescent="0.2"/>
    <row r="90" s="273" customFormat="1" x14ac:dyDescent="0.2"/>
    <row r="91" s="273" customFormat="1" x14ac:dyDescent="0.2"/>
    <row r="92" s="273" customFormat="1" x14ac:dyDescent="0.2"/>
    <row r="93" s="273" customFormat="1" x14ac:dyDescent="0.2"/>
    <row r="94" s="273" customFormat="1" x14ac:dyDescent="0.2"/>
    <row r="95" s="273" customFormat="1" x14ac:dyDescent="0.2"/>
    <row r="96" s="273" customFormat="1" x14ac:dyDescent="0.2"/>
    <row r="97" s="273" customFormat="1" x14ac:dyDescent="0.2"/>
    <row r="98" s="273" customFormat="1" x14ac:dyDescent="0.2"/>
    <row r="99" s="273" customFormat="1" x14ac:dyDescent="0.2"/>
    <row r="100" s="273" customFormat="1" x14ac:dyDescent="0.2"/>
    <row r="101" s="273" customFormat="1" x14ac:dyDescent="0.2"/>
    <row r="102" s="273" customFormat="1" x14ac:dyDescent="0.2"/>
    <row r="103" s="273" customFormat="1" x14ac:dyDescent="0.2"/>
    <row r="104" s="273" customFormat="1" x14ac:dyDescent="0.2"/>
    <row r="105" s="273" customFormat="1" x14ac:dyDescent="0.2"/>
    <row r="106" s="273" customFormat="1" x14ac:dyDescent="0.2"/>
    <row r="107" s="273" customFormat="1" x14ac:dyDescent="0.2"/>
    <row r="108" s="273" customFormat="1" x14ac:dyDescent="0.2"/>
    <row r="109" s="273" customFormat="1" x14ac:dyDescent="0.2"/>
    <row r="110" s="273" customFormat="1" x14ac:dyDescent="0.2"/>
    <row r="111" s="273" customFormat="1" x14ac:dyDescent="0.2"/>
    <row r="112" s="273" customFormat="1" x14ac:dyDescent="0.2"/>
    <row r="113" s="273" customFormat="1" x14ac:dyDescent="0.2"/>
    <row r="114" s="273" customFormat="1" x14ac:dyDescent="0.2"/>
    <row r="115" s="273" customFormat="1" x14ac:dyDescent="0.2"/>
    <row r="116" s="273" customFormat="1" x14ac:dyDescent="0.2"/>
    <row r="117" s="273" customFormat="1" x14ac:dyDescent="0.2"/>
    <row r="118" s="273" customFormat="1" x14ac:dyDescent="0.2"/>
    <row r="119" s="273" customFormat="1" x14ac:dyDescent="0.2"/>
    <row r="120" s="273" customFormat="1" x14ac:dyDescent="0.2"/>
    <row r="121" s="273" customFormat="1" x14ac:dyDescent="0.2"/>
    <row r="122" s="273" customFormat="1" x14ac:dyDescent="0.2"/>
    <row r="123" s="273" customFormat="1" x14ac:dyDescent="0.2"/>
    <row r="124" s="273" customFormat="1" x14ac:dyDescent="0.2"/>
    <row r="125" s="273" customFormat="1" x14ac:dyDescent="0.2"/>
    <row r="126" s="273" customFormat="1" x14ac:dyDescent="0.2"/>
    <row r="127" s="273" customFormat="1" x14ac:dyDescent="0.2"/>
    <row r="128" s="273" customFormat="1" x14ac:dyDescent="0.2"/>
    <row r="129" s="273" customFormat="1" x14ac:dyDescent="0.2"/>
    <row r="130" s="273" customFormat="1" x14ac:dyDescent="0.2"/>
    <row r="131" s="273" customFormat="1" x14ac:dyDescent="0.2"/>
    <row r="132" s="273" customFormat="1" x14ac:dyDescent="0.2"/>
    <row r="133" s="273" customFormat="1" x14ac:dyDescent="0.2"/>
    <row r="134" s="273" customFormat="1" x14ac:dyDescent="0.2"/>
    <row r="135" s="273" customFormat="1" x14ac:dyDescent="0.2"/>
    <row r="136" s="273" customFormat="1" x14ac:dyDescent="0.2"/>
    <row r="137" s="273" customFormat="1" x14ac:dyDescent="0.2"/>
    <row r="138" s="273" customFormat="1" x14ac:dyDescent="0.2"/>
    <row r="139" s="273" customFormat="1" x14ac:dyDescent="0.2"/>
    <row r="140" s="273" customFormat="1" x14ac:dyDescent="0.2"/>
    <row r="141" s="273" customFormat="1" x14ac:dyDescent="0.2"/>
    <row r="142" s="273" customFormat="1" x14ac:dyDescent="0.2"/>
    <row r="143" s="273" customFormat="1" x14ac:dyDescent="0.2"/>
    <row r="144" s="273" customFormat="1" x14ac:dyDescent="0.2"/>
    <row r="145" s="273" customFormat="1" x14ac:dyDescent="0.2"/>
    <row r="146" s="273" customFormat="1" x14ac:dyDescent="0.2"/>
    <row r="147" s="273" customFormat="1" x14ac:dyDescent="0.2"/>
    <row r="148" s="273" customFormat="1" x14ac:dyDescent="0.2"/>
    <row r="149" s="273" customFormat="1" x14ac:dyDescent="0.2"/>
    <row r="150" s="273" customFormat="1" x14ac:dyDescent="0.2"/>
    <row r="151" s="273" customFormat="1" x14ac:dyDescent="0.2"/>
    <row r="152" s="273" customFormat="1" x14ac:dyDescent="0.2"/>
    <row r="153" s="273" customFormat="1" x14ac:dyDescent="0.2"/>
    <row r="154" s="273" customFormat="1" x14ac:dyDescent="0.2"/>
    <row r="155" s="273" customFormat="1" x14ac:dyDescent="0.2"/>
    <row r="156" s="273" customFormat="1" x14ac:dyDescent="0.2"/>
    <row r="157" s="273" customFormat="1" x14ac:dyDescent="0.2"/>
    <row r="158" s="273" customFormat="1" x14ac:dyDescent="0.2"/>
    <row r="159" s="273" customFormat="1" x14ac:dyDescent="0.2"/>
    <row r="160" s="273" customFormat="1" x14ac:dyDescent="0.2"/>
    <row r="161" s="273" customFormat="1" x14ac:dyDescent="0.2"/>
    <row r="162" s="273" customFormat="1" x14ac:dyDescent="0.2"/>
    <row r="163" s="273" customFormat="1" x14ac:dyDescent="0.2"/>
    <row r="164" s="273" customFormat="1" x14ac:dyDescent="0.2"/>
    <row r="165" s="273" customFormat="1" x14ac:dyDescent="0.2"/>
    <row r="166" s="273" customFormat="1" x14ac:dyDescent="0.2"/>
    <row r="167" s="273" customFormat="1" x14ac:dyDescent="0.2"/>
    <row r="168" s="273" customFormat="1" x14ac:dyDescent="0.2"/>
    <row r="169" s="273" customFormat="1" x14ac:dyDescent="0.2"/>
    <row r="170" s="273" customFormat="1" x14ac:dyDescent="0.2"/>
    <row r="171" s="273" customFormat="1" x14ac:dyDescent="0.2"/>
    <row r="172" s="273" customFormat="1" x14ac:dyDescent="0.2"/>
    <row r="173" s="273" customFormat="1" x14ac:dyDescent="0.2"/>
    <row r="174" s="273" customFormat="1" x14ac:dyDescent="0.2"/>
    <row r="175" s="273" customFormat="1" x14ac:dyDescent="0.2"/>
    <row r="176" s="273" customFormat="1" x14ac:dyDescent="0.2"/>
    <row r="177" s="273" customFormat="1" x14ac:dyDescent="0.2"/>
    <row r="178" s="273" customFormat="1" x14ac:dyDescent="0.2"/>
    <row r="179" s="273" customFormat="1" x14ac:dyDescent="0.2"/>
    <row r="180" s="273" customFormat="1" x14ac:dyDescent="0.2"/>
    <row r="181" s="273" customFormat="1" x14ac:dyDescent="0.2"/>
    <row r="182" s="273" customFormat="1" x14ac:dyDescent="0.2"/>
    <row r="183" s="273" customFormat="1" x14ac:dyDescent="0.2"/>
    <row r="184" s="273" customFormat="1" x14ac:dyDescent="0.2"/>
    <row r="185" s="273" customFormat="1" x14ac:dyDescent="0.2"/>
    <row r="186" s="273" customFormat="1" x14ac:dyDescent="0.2"/>
    <row r="187" s="273" customFormat="1" x14ac:dyDescent="0.2"/>
    <row r="188" s="273" customFormat="1" x14ac:dyDescent="0.2"/>
    <row r="189" s="273" customFormat="1" x14ac:dyDescent="0.2"/>
    <row r="190" s="273" customFormat="1" x14ac:dyDescent="0.2"/>
    <row r="191" s="273" customFormat="1" x14ac:dyDescent="0.2"/>
    <row r="192" s="273" customFormat="1" x14ac:dyDescent="0.2"/>
    <row r="193" s="273" customFormat="1" x14ac:dyDescent="0.2"/>
    <row r="194" s="273" customFormat="1" x14ac:dyDescent="0.2"/>
    <row r="195" s="273" customFormat="1" x14ac:dyDescent="0.2"/>
    <row r="196" s="273" customFormat="1" x14ac:dyDescent="0.2"/>
    <row r="197" s="273" customFormat="1" x14ac:dyDescent="0.2"/>
    <row r="198" s="273" customFormat="1" x14ac:dyDescent="0.2"/>
    <row r="199" s="273" customFormat="1" x14ac:dyDescent="0.2"/>
    <row r="200" s="273" customFormat="1" x14ac:dyDescent="0.2"/>
    <row r="201" s="273" customFormat="1" x14ac:dyDescent="0.2"/>
    <row r="202" s="273" customFormat="1" x14ac:dyDescent="0.2"/>
    <row r="203" s="273" customFormat="1" x14ac:dyDescent="0.2"/>
    <row r="204" s="273" customFormat="1" x14ac:dyDescent="0.2"/>
    <row r="205" s="273" customFormat="1" x14ac:dyDescent="0.2"/>
    <row r="206" s="273" customFormat="1" x14ac:dyDescent="0.2"/>
    <row r="207" s="273" customFormat="1" x14ac:dyDescent="0.2"/>
    <row r="208" s="273" customFormat="1" x14ac:dyDescent="0.2"/>
    <row r="209" s="273" customFormat="1" x14ac:dyDescent="0.2"/>
    <row r="210" s="273" customFormat="1" x14ac:dyDescent="0.2"/>
    <row r="211" s="273" customFormat="1" x14ac:dyDescent="0.2"/>
    <row r="212" s="273" customFormat="1" x14ac:dyDescent="0.2"/>
    <row r="213" s="273" customFormat="1" x14ac:dyDescent="0.2"/>
    <row r="214" s="273" customFormat="1" x14ac:dyDescent="0.2"/>
    <row r="215" s="273" customFormat="1" x14ac:dyDescent="0.2"/>
    <row r="216" s="273" customFormat="1" x14ac:dyDescent="0.2"/>
    <row r="217" s="273" customFormat="1" x14ac:dyDescent="0.2"/>
    <row r="218" s="273" customFormat="1" x14ac:dyDescent="0.2"/>
    <row r="219" s="273" customFormat="1" x14ac:dyDescent="0.2"/>
    <row r="220" s="273" customFormat="1" x14ac:dyDescent="0.2"/>
    <row r="221" s="273" customFormat="1" x14ac:dyDescent="0.2"/>
    <row r="222" s="273" customFormat="1" x14ac:dyDescent="0.2"/>
    <row r="223" s="273" customFormat="1" x14ac:dyDescent="0.2"/>
    <row r="224" s="273" customFormat="1" x14ac:dyDescent="0.2"/>
    <row r="225" s="273" customFormat="1" x14ac:dyDescent="0.2"/>
    <row r="226" s="273" customFormat="1" x14ac:dyDescent="0.2"/>
    <row r="227" s="273" customFormat="1" x14ac:dyDescent="0.2"/>
    <row r="228" s="273" customFormat="1" x14ac:dyDescent="0.2"/>
    <row r="229" s="273" customFormat="1" x14ac:dyDescent="0.2"/>
    <row r="230" s="273" customFormat="1" x14ac:dyDescent="0.2"/>
    <row r="231" s="273" customFormat="1" x14ac:dyDescent="0.2"/>
    <row r="232" s="273" customFormat="1" x14ac:dyDescent="0.2"/>
    <row r="233" s="273" customFormat="1" x14ac:dyDescent="0.2"/>
    <row r="234" s="273" customFormat="1" x14ac:dyDescent="0.2"/>
    <row r="235" s="273" customFormat="1" x14ac:dyDescent="0.2"/>
    <row r="236" s="273" customFormat="1" x14ac:dyDescent="0.2"/>
    <row r="237" s="273" customFormat="1" x14ac:dyDescent="0.2"/>
    <row r="238" s="273" customFormat="1" x14ac:dyDescent="0.2"/>
    <row r="239" s="273" customFormat="1" x14ac:dyDescent="0.2"/>
    <row r="240" s="273" customFormat="1" x14ac:dyDescent="0.2"/>
    <row r="241" s="273" customFormat="1" x14ac:dyDescent="0.2"/>
    <row r="242" s="273" customFormat="1" x14ac:dyDescent="0.2"/>
    <row r="243" s="273" customFormat="1" x14ac:dyDescent="0.2"/>
    <row r="244" s="273" customFormat="1" x14ac:dyDescent="0.2"/>
    <row r="245" s="273" customFormat="1" x14ac:dyDescent="0.2"/>
    <row r="246" s="273" customFormat="1" x14ac:dyDescent="0.2"/>
    <row r="247" s="273" customFormat="1" x14ac:dyDescent="0.2"/>
    <row r="248" s="273" customFormat="1" x14ac:dyDescent="0.2"/>
    <row r="249" s="273" customFormat="1" x14ac:dyDescent="0.2"/>
    <row r="250" s="273" customFormat="1" x14ac:dyDescent="0.2"/>
    <row r="251" s="273" customFormat="1" x14ac:dyDescent="0.2"/>
    <row r="252" s="273" customFormat="1" x14ac:dyDescent="0.2"/>
    <row r="253" s="273" customFormat="1" x14ac:dyDescent="0.2"/>
    <row r="254" s="273" customFormat="1" x14ac:dyDescent="0.2"/>
    <row r="255" s="273" customFormat="1" x14ac:dyDescent="0.2"/>
    <row r="256" s="273" customFormat="1" x14ac:dyDescent="0.2"/>
    <row r="257" s="273" customFormat="1" x14ac:dyDescent="0.2"/>
    <row r="258" s="273" customFormat="1" x14ac:dyDescent="0.2"/>
    <row r="259" s="273" customFormat="1" x14ac:dyDescent="0.2"/>
    <row r="260" s="273" customFormat="1" x14ac:dyDescent="0.2"/>
    <row r="261" s="273" customFormat="1" x14ac:dyDescent="0.2"/>
    <row r="262" s="273" customFormat="1" x14ac:dyDescent="0.2"/>
    <row r="263" s="273" customFormat="1" x14ac:dyDescent="0.2"/>
    <row r="264" s="273" customFormat="1" x14ac:dyDescent="0.2"/>
    <row r="265" s="273" customFormat="1" x14ac:dyDescent="0.2"/>
    <row r="266" s="273" customFormat="1" x14ac:dyDescent="0.2"/>
    <row r="267" s="273" customFormat="1" x14ac:dyDescent="0.2"/>
    <row r="268" s="273" customFormat="1" x14ac:dyDescent="0.2"/>
    <row r="269" s="273" customFormat="1" x14ac:dyDescent="0.2"/>
    <row r="270" s="273" customFormat="1" x14ac:dyDescent="0.2"/>
    <row r="271" s="273" customFormat="1" x14ac:dyDescent="0.2"/>
    <row r="272" s="273" customFormat="1" x14ac:dyDescent="0.2"/>
    <row r="273" s="273" customFormat="1" x14ac:dyDescent="0.2"/>
    <row r="274" s="273" customFormat="1" x14ac:dyDescent="0.2"/>
    <row r="275" s="273" customFormat="1" x14ac:dyDescent="0.2"/>
    <row r="276" s="273" customFormat="1" x14ac:dyDescent="0.2"/>
    <row r="277" s="273" customFormat="1" x14ac:dyDescent="0.2"/>
    <row r="278" s="273" customFormat="1" x14ac:dyDescent="0.2"/>
    <row r="279" s="273" customFormat="1" x14ac:dyDescent="0.2"/>
    <row r="280" s="273" customFormat="1" x14ac:dyDescent="0.2"/>
    <row r="281" s="273" customFormat="1" x14ac:dyDescent="0.2"/>
    <row r="282" s="273" customFormat="1" x14ac:dyDescent="0.2"/>
    <row r="283" s="273" customFormat="1" x14ac:dyDescent="0.2"/>
    <row r="284" s="273" customFormat="1" x14ac:dyDescent="0.2"/>
    <row r="285" s="273" customFormat="1" x14ac:dyDescent="0.2"/>
    <row r="286" s="273" customFormat="1" x14ac:dyDescent="0.2"/>
    <row r="287" s="273" customFormat="1" x14ac:dyDescent="0.2"/>
    <row r="288" s="273" customFormat="1" x14ac:dyDescent="0.2"/>
    <row r="289" s="273" customFormat="1" x14ac:dyDescent="0.2"/>
    <row r="290" s="273" customFormat="1" x14ac:dyDescent="0.2"/>
    <row r="291" s="273" customFormat="1" x14ac:dyDescent="0.2"/>
    <row r="292" s="273" customFormat="1" x14ac:dyDescent="0.2"/>
    <row r="293" s="273" customFormat="1" x14ac:dyDescent="0.2"/>
    <row r="294" s="273" customFormat="1" x14ac:dyDescent="0.2"/>
    <row r="295" s="273" customFormat="1" x14ac:dyDescent="0.2"/>
    <row r="296" s="273" customFormat="1" x14ac:dyDescent="0.2"/>
    <row r="297" s="273" customFormat="1" x14ac:dyDescent="0.2"/>
    <row r="298" s="273" customFormat="1" x14ac:dyDescent="0.2"/>
    <row r="299" s="273" customFormat="1" x14ac:dyDescent="0.2"/>
    <row r="300" s="273" customFormat="1" x14ac:dyDescent="0.2"/>
    <row r="301" s="273" customFormat="1" x14ac:dyDescent="0.2"/>
    <row r="302" s="273" customFormat="1" x14ac:dyDescent="0.2"/>
    <row r="303" s="273" customFormat="1" x14ac:dyDescent="0.2"/>
    <row r="304" s="273" customFormat="1" x14ac:dyDescent="0.2"/>
    <row r="305" s="273" customFormat="1" x14ac:dyDescent="0.2"/>
    <row r="306" s="273" customFormat="1" x14ac:dyDescent="0.2"/>
    <row r="307" s="273" customFormat="1" x14ac:dyDescent="0.2"/>
    <row r="308" s="273" customFormat="1" x14ac:dyDescent="0.2"/>
    <row r="309" s="273" customFormat="1" x14ac:dyDescent="0.2"/>
    <row r="310" s="273" customFormat="1" x14ac:dyDescent="0.2"/>
    <row r="311" s="273" customFormat="1" x14ac:dyDescent="0.2"/>
    <row r="312" s="273" customFormat="1" x14ac:dyDescent="0.2"/>
    <row r="313" s="273" customFormat="1" x14ac:dyDescent="0.2"/>
    <row r="314" s="273" customFormat="1" x14ac:dyDescent="0.2"/>
    <row r="315" s="273" customFormat="1" x14ac:dyDescent="0.2"/>
    <row r="316" s="273" customFormat="1" x14ac:dyDescent="0.2"/>
    <row r="317" s="273" customFormat="1" x14ac:dyDescent="0.2"/>
    <row r="318" s="273" customFormat="1" x14ac:dyDescent="0.2"/>
    <row r="319" s="273" customFormat="1" x14ac:dyDescent="0.2"/>
    <row r="320" s="273" customFormat="1" x14ac:dyDescent="0.2"/>
    <row r="321" s="273" customFormat="1" x14ac:dyDescent="0.2"/>
    <row r="322" s="273" customFormat="1" x14ac:dyDescent="0.2"/>
    <row r="323" s="273" customFormat="1" x14ac:dyDescent="0.2"/>
    <row r="324" s="273" customFormat="1" x14ac:dyDescent="0.2"/>
    <row r="325" s="273" customFormat="1" x14ac:dyDescent="0.2"/>
    <row r="326" s="273" customFormat="1" x14ac:dyDescent="0.2"/>
    <row r="327" s="273" customFormat="1" x14ac:dyDescent="0.2"/>
    <row r="328" s="273" customFormat="1" x14ac:dyDescent="0.2"/>
    <row r="329" s="273" customFormat="1" x14ac:dyDescent="0.2"/>
    <row r="330" s="273" customFormat="1" x14ac:dyDescent="0.2"/>
    <row r="331" s="273" customFormat="1" x14ac:dyDescent="0.2"/>
    <row r="332" s="273" customFormat="1" x14ac:dyDescent="0.2"/>
    <row r="333" s="273" customFormat="1" x14ac:dyDescent="0.2"/>
    <row r="334" s="273" customFormat="1" x14ac:dyDescent="0.2"/>
    <row r="335" s="273" customFormat="1" x14ac:dyDescent="0.2"/>
    <row r="336" s="273" customFormat="1" x14ac:dyDescent="0.2"/>
    <row r="337" s="273" customFormat="1" x14ac:dyDescent="0.2"/>
    <row r="338" s="273" customFormat="1" x14ac:dyDescent="0.2"/>
    <row r="339" s="273" customFormat="1" x14ac:dyDescent="0.2"/>
    <row r="340" s="273" customFormat="1" x14ac:dyDescent="0.2"/>
    <row r="341" s="273" customFormat="1" x14ac:dyDescent="0.2"/>
    <row r="342" s="273" customFormat="1" x14ac:dyDescent="0.2"/>
    <row r="343" s="273" customFormat="1" x14ac:dyDescent="0.2"/>
    <row r="344" s="273" customFormat="1" x14ac:dyDescent="0.2"/>
    <row r="345" s="273" customFormat="1" x14ac:dyDescent="0.2"/>
    <row r="346" s="273" customFormat="1" x14ac:dyDescent="0.2"/>
    <row r="347" s="273" customFormat="1" x14ac:dyDescent="0.2"/>
    <row r="348" s="273" customFormat="1" x14ac:dyDescent="0.2"/>
    <row r="349" s="273" customFormat="1" x14ac:dyDescent="0.2"/>
    <row r="350" s="273" customFormat="1" x14ac:dyDescent="0.2"/>
    <row r="351" s="273" customFormat="1" x14ac:dyDescent="0.2"/>
    <row r="352" s="273" customFormat="1" x14ac:dyDescent="0.2"/>
    <row r="353" s="273" customFormat="1" x14ac:dyDescent="0.2"/>
    <row r="354" s="273" customFormat="1" x14ac:dyDescent="0.2"/>
    <row r="355" s="273" customFormat="1" x14ac:dyDescent="0.2"/>
    <row r="356" s="273" customFormat="1" x14ac:dyDescent="0.2"/>
    <row r="357" s="273" customFormat="1" x14ac:dyDescent="0.2"/>
    <row r="358" s="273" customFormat="1" x14ac:dyDescent="0.2"/>
    <row r="359" s="273" customFormat="1" x14ac:dyDescent="0.2"/>
    <row r="360" s="273" customFormat="1" x14ac:dyDescent="0.2"/>
    <row r="361" s="273" customFormat="1" x14ac:dyDescent="0.2"/>
    <row r="362" s="273" customFormat="1" x14ac:dyDescent="0.2"/>
    <row r="363" s="273" customFormat="1" x14ac:dyDescent="0.2"/>
    <row r="364" s="273" customFormat="1" x14ac:dyDescent="0.2"/>
    <row r="365" s="273" customFormat="1" x14ac:dyDescent="0.2"/>
    <row r="366" s="273" customFormat="1" x14ac:dyDescent="0.2"/>
    <row r="367" s="273" customFormat="1" x14ac:dyDescent="0.2"/>
    <row r="368" s="273" customFormat="1" x14ac:dyDescent="0.2"/>
    <row r="369" s="273" customFormat="1" x14ac:dyDescent="0.2"/>
    <row r="370" s="273" customFormat="1" x14ac:dyDescent="0.2"/>
    <row r="371" s="273" customFormat="1" x14ac:dyDescent="0.2"/>
    <row r="372" s="273" customFormat="1" x14ac:dyDescent="0.2"/>
    <row r="373" s="273" customFormat="1" x14ac:dyDescent="0.2"/>
    <row r="374" s="273" customFormat="1" x14ac:dyDescent="0.2"/>
    <row r="375" s="273" customFormat="1" x14ac:dyDescent="0.2"/>
    <row r="376" s="273" customFormat="1" x14ac:dyDescent="0.2"/>
    <row r="377" s="273" customFormat="1" x14ac:dyDescent="0.2"/>
    <row r="378" s="273" customFormat="1" x14ac:dyDescent="0.2"/>
    <row r="379" s="273" customFormat="1" x14ac:dyDescent="0.2"/>
    <row r="380" s="273" customFormat="1" x14ac:dyDescent="0.2"/>
    <row r="381" s="273" customFormat="1" x14ac:dyDescent="0.2"/>
    <row r="382" s="273" customFormat="1" x14ac:dyDescent="0.2"/>
    <row r="383" s="273" customFormat="1" x14ac:dyDescent="0.2"/>
    <row r="384" s="273" customFormat="1" x14ac:dyDescent="0.2"/>
    <row r="385" s="273" customFormat="1" x14ac:dyDescent="0.2"/>
    <row r="386" s="273" customFormat="1" x14ac:dyDescent="0.2"/>
    <row r="387" s="273" customFormat="1" x14ac:dyDescent="0.2"/>
    <row r="388" s="273" customFormat="1" x14ac:dyDescent="0.2"/>
    <row r="389" s="273" customFormat="1" x14ac:dyDescent="0.2"/>
    <row r="390" s="273" customFormat="1" x14ac:dyDescent="0.2"/>
    <row r="391" s="273" customFormat="1" x14ac:dyDescent="0.2"/>
    <row r="392" s="273" customFormat="1" x14ac:dyDescent="0.2"/>
    <row r="393" s="273" customFormat="1" x14ac:dyDescent="0.2"/>
    <row r="394" s="273" customFormat="1" x14ac:dyDescent="0.2"/>
    <row r="395" s="273" customFormat="1" x14ac:dyDescent="0.2"/>
    <row r="396" s="273" customFormat="1" x14ac:dyDescent="0.2"/>
    <row r="397" s="273" customFormat="1" x14ac:dyDescent="0.2"/>
    <row r="398" s="273" customFormat="1" x14ac:dyDescent="0.2"/>
    <row r="399" s="273" customFormat="1" x14ac:dyDescent="0.2"/>
    <row r="400" s="273" customFormat="1" x14ac:dyDescent="0.2"/>
    <row r="401" s="273" customFormat="1" x14ac:dyDescent="0.2"/>
    <row r="402" s="273" customFormat="1" x14ac:dyDescent="0.2"/>
    <row r="403" s="273" customFormat="1" x14ac:dyDescent="0.2"/>
    <row r="404" s="273" customFormat="1" x14ac:dyDescent="0.2"/>
    <row r="405" s="273" customFormat="1" x14ac:dyDescent="0.2"/>
    <row r="406" s="273" customFormat="1" x14ac:dyDescent="0.2"/>
    <row r="407" s="273" customFormat="1" x14ac:dyDescent="0.2"/>
    <row r="408" s="273" customFormat="1" x14ac:dyDescent="0.2"/>
    <row r="409" s="273" customFormat="1" x14ac:dyDescent="0.2"/>
    <row r="410" s="273" customFormat="1" x14ac:dyDescent="0.2"/>
    <row r="411" s="273" customFormat="1" x14ac:dyDescent="0.2"/>
    <row r="412" s="273" customFormat="1" x14ac:dyDescent="0.2"/>
    <row r="413" s="273" customFormat="1" x14ac:dyDescent="0.2"/>
    <row r="414" s="273" customFormat="1" x14ac:dyDescent="0.2"/>
    <row r="415" s="273" customFormat="1" x14ac:dyDescent="0.2"/>
    <row r="416" s="273" customFormat="1" x14ac:dyDescent="0.2"/>
    <row r="417" s="273" customFormat="1" x14ac:dyDescent="0.2"/>
    <row r="418" s="273" customFormat="1" x14ac:dyDescent="0.2"/>
    <row r="419" s="273" customFormat="1" x14ac:dyDescent="0.2"/>
    <row r="420" s="273" customFormat="1" x14ac:dyDescent="0.2"/>
    <row r="421" s="273" customFormat="1" x14ac:dyDescent="0.2"/>
    <row r="422" s="273" customFormat="1" x14ac:dyDescent="0.2"/>
    <row r="423" s="273" customFormat="1" x14ac:dyDescent="0.2"/>
    <row r="424" s="273" customFormat="1" x14ac:dyDescent="0.2"/>
    <row r="425" s="273" customFormat="1" x14ac:dyDescent="0.2"/>
    <row r="426" s="273" customFormat="1" x14ac:dyDescent="0.2"/>
    <row r="427" s="273" customFormat="1" x14ac:dyDescent="0.2"/>
    <row r="428" s="273" customFormat="1" x14ac:dyDescent="0.2"/>
    <row r="429" s="273" customFormat="1" x14ac:dyDescent="0.2"/>
    <row r="430" s="273" customFormat="1" x14ac:dyDescent="0.2"/>
    <row r="431" s="273" customFormat="1" x14ac:dyDescent="0.2"/>
    <row r="432" s="273" customFormat="1" x14ac:dyDescent="0.2"/>
    <row r="433" s="273" customFormat="1" x14ac:dyDescent="0.2"/>
    <row r="434" s="273" customFormat="1" x14ac:dyDescent="0.2"/>
    <row r="435" s="273" customFormat="1" x14ac:dyDescent="0.2"/>
    <row r="436" s="273" customFormat="1" x14ac:dyDescent="0.2"/>
    <row r="437" s="273" customFormat="1" x14ac:dyDescent="0.2"/>
    <row r="438" s="273" customFormat="1" x14ac:dyDescent="0.2"/>
    <row r="439" s="273" customFormat="1" x14ac:dyDescent="0.2"/>
    <row r="440" s="273" customFormat="1" x14ac:dyDescent="0.2"/>
    <row r="441" s="273" customFormat="1" x14ac:dyDescent="0.2"/>
    <row r="442" s="273" customFormat="1" x14ac:dyDescent="0.2"/>
    <row r="443" s="273" customFormat="1" x14ac:dyDescent="0.2"/>
    <row r="444" s="273" customFormat="1" x14ac:dyDescent="0.2"/>
    <row r="445" s="273" customFormat="1" x14ac:dyDescent="0.2"/>
    <row r="446" s="273" customFormat="1" x14ac:dyDescent="0.2"/>
    <row r="447" s="273" customFormat="1" x14ac:dyDescent="0.2"/>
    <row r="448" s="273" customFormat="1" x14ac:dyDescent="0.2"/>
    <row r="449" s="273" customFormat="1" x14ac:dyDescent="0.2"/>
    <row r="450" s="273" customFormat="1" x14ac:dyDescent="0.2"/>
    <row r="451" s="273" customFormat="1" x14ac:dyDescent="0.2"/>
    <row r="452" s="273" customFormat="1" x14ac:dyDescent="0.2"/>
    <row r="453" s="273" customFormat="1" x14ac:dyDescent="0.2"/>
    <row r="454" s="273" customFormat="1" x14ac:dyDescent="0.2"/>
    <row r="455" s="273" customFormat="1" x14ac:dyDescent="0.2"/>
    <row r="456" s="273" customFormat="1" x14ac:dyDescent="0.2"/>
    <row r="457" s="273" customFormat="1" x14ac:dyDescent="0.2"/>
    <row r="458" s="273" customFormat="1" x14ac:dyDescent="0.2"/>
    <row r="459" s="273" customFormat="1" x14ac:dyDescent="0.2"/>
    <row r="460" s="273" customFormat="1" x14ac:dyDescent="0.2"/>
    <row r="461" s="273" customFormat="1" x14ac:dyDescent="0.2"/>
    <row r="462" s="273" customFormat="1" x14ac:dyDescent="0.2"/>
    <row r="463" s="273" customFormat="1" x14ac:dyDescent="0.2"/>
    <row r="464" s="273" customFormat="1" x14ac:dyDescent="0.2"/>
    <row r="465" s="273" customFormat="1" x14ac:dyDescent="0.2"/>
    <row r="466" s="273" customFormat="1" x14ac:dyDescent="0.2"/>
    <row r="467" s="273" customFormat="1" x14ac:dyDescent="0.2"/>
    <row r="468" s="273" customFormat="1" x14ac:dyDescent="0.2"/>
    <row r="469" s="273" customFormat="1" x14ac:dyDescent="0.2"/>
    <row r="470" s="273" customFormat="1" x14ac:dyDescent="0.2"/>
    <row r="471" s="273" customFormat="1" x14ac:dyDescent="0.2"/>
    <row r="472" s="273" customFormat="1" x14ac:dyDescent="0.2"/>
    <row r="473" s="273" customFormat="1" x14ac:dyDescent="0.2"/>
    <row r="474" s="273" customFormat="1" x14ac:dyDescent="0.2"/>
    <row r="475" s="273" customFormat="1" x14ac:dyDescent="0.2"/>
    <row r="476" s="273" customFormat="1" x14ac:dyDescent="0.2"/>
    <row r="477" s="273" customFormat="1" x14ac:dyDescent="0.2"/>
    <row r="478" s="273" customFormat="1" x14ac:dyDescent="0.2"/>
    <row r="479" s="273" customFormat="1" x14ac:dyDescent="0.2"/>
    <row r="480" s="273" customFormat="1" x14ac:dyDescent="0.2"/>
    <row r="481" s="273" customFormat="1" x14ac:dyDescent="0.2"/>
    <row r="482" s="273" customFormat="1" x14ac:dyDescent="0.2"/>
    <row r="483" s="273" customFormat="1" x14ac:dyDescent="0.2"/>
    <row r="484" s="273" customFormat="1" x14ac:dyDescent="0.2"/>
    <row r="485" s="273" customFormat="1" x14ac:dyDescent="0.2"/>
    <row r="486" s="273" customFormat="1" x14ac:dyDescent="0.2"/>
    <row r="487" s="273" customFormat="1" x14ac:dyDescent="0.2"/>
    <row r="488" s="273" customFormat="1" x14ac:dyDescent="0.2"/>
    <row r="489" s="273" customFormat="1" x14ac:dyDescent="0.2"/>
    <row r="490" s="273" customFormat="1" x14ac:dyDescent="0.2"/>
    <row r="491" s="273" customFormat="1" x14ac:dyDescent="0.2"/>
    <row r="492" s="273" customFormat="1" x14ac:dyDescent="0.2"/>
    <row r="493" s="273" customFormat="1" x14ac:dyDescent="0.2"/>
    <row r="494" s="273" customFormat="1" x14ac:dyDescent="0.2"/>
    <row r="495" s="273" customFormat="1" x14ac:dyDescent="0.2"/>
    <row r="496" s="273" customFormat="1" x14ac:dyDescent="0.2"/>
    <row r="497" s="273" customFormat="1" x14ac:dyDescent="0.2"/>
    <row r="498" s="273" customFormat="1" x14ac:dyDescent="0.2"/>
    <row r="499" s="273" customFormat="1" x14ac:dyDescent="0.2"/>
    <row r="500" s="273" customFormat="1" x14ac:dyDescent="0.2"/>
    <row r="501" s="273" customFormat="1" x14ac:dyDescent="0.2"/>
    <row r="502" s="273" customFormat="1" x14ac:dyDescent="0.2"/>
    <row r="503" s="273" customFormat="1" x14ac:dyDescent="0.2"/>
    <row r="504" s="273" customFormat="1" x14ac:dyDescent="0.2"/>
    <row r="505" s="273" customFormat="1" x14ac:dyDescent="0.2"/>
    <row r="506" s="273" customFormat="1" x14ac:dyDescent="0.2"/>
    <row r="507" s="273" customFormat="1" x14ac:dyDescent="0.2"/>
    <row r="508" s="273" customFormat="1" x14ac:dyDescent="0.2"/>
    <row r="509" s="273" customFormat="1" x14ac:dyDescent="0.2"/>
    <row r="510" s="273" customFormat="1" x14ac:dyDescent="0.2"/>
    <row r="511" s="273" customFormat="1" x14ac:dyDescent="0.2"/>
    <row r="512" s="273" customFormat="1" x14ac:dyDescent="0.2"/>
    <row r="513" s="273" customFormat="1" x14ac:dyDescent="0.2"/>
    <row r="514" s="273" customFormat="1" x14ac:dyDescent="0.2"/>
    <row r="515" s="273" customFormat="1" x14ac:dyDescent="0.2"/>
    <row r="516" s="273" customFormat="1" x14ac:dyDescent="0.2"/>
    <row r="517" s="273" customFormat="1" x14ac:dyDescent="0.2"/>
    <row r="518" s="273" customFormat="1" x14ac:dyDescent="0.2"/>
    <row r="519" s="273" customFormat="1" x14ac:dyDescent="0.2"/>
    <row r="520" s="273" customFormat="1" x14ac:dyDescent="0.2"/>
    <row r="521" s="273" customFormat="1" x14ac:dyDescent="0.2"/>
    <row r="522" s="273" customFormat="1" x14ac:dyDescent="0.2"/>
    <row r="523" s="273" customFormat="1" x14ac:dyDescent="0.2"/>
    <row r="524" s="273" customFormat="1" x14ac:dyDescent="0.2"/>
    <row r="525" s="273" customFormat="1" x14ac:dyDescent="0.2"/>
    <row r="526" s="273" customFormat="1" x14ac:dyDescent="0.2"/>
    <row r="527" s="273" customFormat="1" x14ac:dyDescent="0.2"/>
    <row r="528" s="273" customFormat="1" x14ac:dyDescent="0.2"/>
    <row r="529" s="273" customFormat="1" x14ac:dyDescent="0.2"/>
    <row r="530" s="273" customFormat="1" x14ac:dyDescent="0.2"/>
    <row r="531" s="273" customFormat="1" x14ac:dyDescent="0.2"/>
    <row r="532" s="273" customFormat="1" x14ac:dyDescent="0.2"/>
    <row r="533" s="273" customFormat="1" x14ac:dyDescent="0.2"/>
    <row r="534" s="273" customFormat="1" x14ac:dyDescent="0.2"/>
    <row r="535" s="273" customFormat="1" x14ac:dyDescent="0.2"/>
    <row r="536" s="273" customFormat="1" x14ac:dyDescent="0.2"/>
    <row r="537" s="273" customFormat="1" x14ac:dyDescent="0.2"/>
    <row r="538" s="273" customFormat="1" x14ac:dyDescent="0.2"/>
    <row r="539" s="273" customFormat="1" x14ac:dyDescent="0.2"/>
    <row r="540" s="273" customFormat="1" x14ac:dyDescent="0.2"/>
    <row r="541" s="273" customFormat="1" x14ac:dyDescent="0.2"/>
    <row r="542" s="273" customFormat="1" x14ac:dyDescent="0.2"/>
    <row r="543" s="273" customFormat="1" x14ac:dyDescent="0.2"/>
    <row r="544" s="273" customFormat="1" x14ac:dyDescent="0.2"/>
    <row r="545" s="273" customFormat="1" x14ac:dyDescent="0.2"/>
    <row r="546" s="273" customFormat="1" x14ac:dyDescent="0.2"/>
    <row r="547" s="273" customFormat="1" x14ac:dyDescent="0.2"/>
    <row r="548" s="273" customFormat="1" x14ac:dyDescent="0.2"/>
    <row r="549" s="273" customFormat="1" x14ac:dyDescent="0.2"/>
    <row r="550" s="273" customFormat="1" x14ac:dyDescent="0.2"/>
    <row r="551" s="273" customFormat="1" x14ac:dyDescent="0.2"/>
    <row r="552" s="273" customFormat="1" x14ac:dyDescent="0.2"/>
    <row r="553" s="273" customFormat="1" x14ac:dyDescent="0.2"/>
    <row r="554" s="273" customFormat="1" x14ac:dyDescent="0.2"/>
    <row r="555" s="273" customFormat="1" x14ac:dyDescent="0.2"/>
    <row r="556" s="273" customFormat="1" x14ac:dyDescent="0.2"/>
    <row r="557" s="273" customFormat="1" x14ac:dyDescent="0.2"/>
    <row r="558" s="273" customFormat="1" x14ac:dyDescent="0.2"/>
    <row r="559" s="273" customFormat="1" x14ac:dyDescent="0.2"/>
    <row r="560" s="273" customFormat="1" x14ac:dyDescent="0.2"/>
    <row r="561" s="273" customFormat="1" x14ac:dyDescent="0.2"/>
    <row r="562" s="273" customFormat="1" x14ac:dyDescent="0.2"/>
    <row r="563" s="273" customFormat="1" x14ac:dyDescent="0.2"/>
    <row r="564" s="273" customFormat="1" x14ac:dyDescent="0.2"/>
    <row r="565" s="273" customFormat="1" x14ac:dyDescent="0.2"/>
    <row r="566" s="273" customFormat="1" x14ac:dyDescent="0.2"/>
    <row r="567" s="273" customFormat="1" x14ac:dyDescent="0.2"/>
    <row r="568" s="273" customFormat="1" x14ac:dyDescent="0.2"/>
    <row r="569" s="273" customFormat="1" x14ac:dyDescent="0.2"/>
    <row r="570" s="273" customFormat="1" x14ac:dyDescent="0.2"/>
    <row r="571" s="273" customFormat="1" x14ac:dyDescent="0.2"/>
    <row r="572" s="273" customFormat="1" x14ac:dyDescent="0.2"/>
    <row r="573" s="273" customFormat="1" x14ac:dyDescent="0.2"/>
    <row r="574" s="273" customFormat="1" x14ac:dyDescent="0.2"/>
    <row r="575" s="273" customFormat="1" x14ac:dyDescent="0.2"/>
    <row r="576" s="273" customFormat="1" x14ac:dyDescent="0.2"/>
    <row r="577" s="273" customFormat="1" x14ac:dyDescent="0.2"/>
    <row r="578" s="273" customFormat="1" x14ac:dyDescent="0.2"/>
    <row r="579" s="273" customFormat="1" x14ac:dyDescent="0.2"/>
    <row r="580" s="273" customFormat="1" x14ac:dyDescent="0.2"/>
    <row r="581" s="273" customFormat="1" x14ac:dyDescent="0.2"/>
    <row r="582" s="273" customFormat="1" x14ac:dyDescent="0.2"/>
    <row r="583" s="273" customFormat="1" x14ac:dyDescent="0.2"/>
    <row r="584" s="273" customFormat="1" x14ac:dyDescent="0.2"/>
    <row r="585" s="273" customFormat="1" x14ac:dyDescent="0.2"/>
    <row r="586" s="273" customFormat="1" x14ac:dyDescent="0.2"/>
    <row r="587" s="273" customFormat="1" x14ac:dyDescent="0.2"/>
    <row r="588" s="273" customFormat="1" x14ac:dyDescent="0.2"/>
    <row r="589" s="273" customFormat="1" x14ac:dyDescent="0.2"/>
    <row r="590" s="273" customFormat="1" x14ac:dyDescent="0.2"/>
    <row r="591" s="273" customFormat="1" x14ac:dyDescent="0.2"/>
    <row r="592" s="273" customFormat="1" x14ac:dyDescent="0.2"/>
    <row r="593" s="273" customFormat="1" x14ac:dyDescent="0.2"/>
    <row r="594" s="273" customFormat="1" x14ac:dyDescent="0.2"/>
    <row r="595" s="273" customFormat="1" x14ac:dyDescent="0.2"/>
    <row r="596" s="273" customFormat="1" x14ac:dyDescent="0.2"/>
    <row r="597" s="273" customFormat="1" x14ac:dyDescent="0.2"/>
    <row r="598" s="273" customFormat="1" x14ac:dyDescent="0.2"/>
    <row r="599" s="273" customFormat="1" x14ac:dyDescent="0.2"/>
    <row r="600" s="273" customFormat="1" x14ac:dyDescent="0.2"/>
    <row r="601" s="273" customFormat="1" x14ac:dyDescent="0.2"/>
    <row r="602" s="273" customFormat="1" x14ac:dyDescent="0.2"/>
    <row r="603" s="273" customFormat="1" x14ac:dyDescent="0.2"/>
    <row r="604" s="273" customFormat="1" x14ac:dyDescent="0.2"/>
    <row r="605" s="273" customFormat="1" x14ac:dyDescent="0.2"/>
    <row r="606" s="273" customFormat="1" x14ac:dyDescent="0.2"/>
    <row r="607" s="273" customFormat="1" x14ac:dyDescent="0.2"/>
    <row r="608" s="273" customFormat="1" x14ac:dyDescent="0.2"/>
    <row r="609" s="273" customFormat="1" x14ac:dyDescent="0.2"/>
    <row r="610" s="273" customFormat="1" x14ac:dyDescent="0.2"/>
    <row r="611" s="273" customFormat="1" x14ac:dyDescent="0.2"/>
    <row r="612" s="273" customFormat="1" x14ac:dyDescent="0.2"/>
    <row r="613" s="273" customFormat="1" x14ac:dyDescent="0.2"/>
    <row r="614" s="273" customFormat="1" x14ac:dyDescent="0.2"/>
    <row r="615" s="273" customFormat="1" x14ac:dyDescent="0.2"/>
    <row r="616" s="273" customFormat="1" x14ac:dyDescent="0.2"/>
    <row r="617" s="273" customFormat="1" x14ac:dyDescent="0.2"/>
    <row r="618" s="273" customFormat="1" x14ac:dyDescent="0.2"/>
    <row r="619" s="273" customFormat="1" x14ac:dyDescent="0.2"/>
    <row r="620" s="273" customFormat="1" x14ac:dyDescent="0.2"/>
    <row r="621" s="273" customFormat="1" x14ac:dyDescent="0.2"/>
    <row r="622" s="273" customFormat="1" x14ac:dyDescent="0.2"/>
    <row r="623" s="273" customFormat="1" x14ac:dyDescent="0.2"/>
    <row r="624" s="273" customFormat="1" x14ac:dyDescent="0.2"/>
    <row r="625" s="273" customFormat="1" x14ac:dyDescent="0.2"/>
    <row r="626" s="273" customFormat="1" x14ac:dyDescent="0.2"/>
    <row r="627" s="273" customFormat="1" x14ac:dyDescent="0.2"/>
    <row r="628" s="273" customFormat="1" x14ac:dyDescent="0.2"/>
    <row r="629" s="273" customFormat="1" x14ac:dyDescent="0.2"/>
    <row r="630" s="273" customFormat="1" x14ac:dyDescent="0.2"/>
    <row r="631" s="273" customFormat="1" x14ac:dyDescent="0.2"/>
    <row r="632" s="273" customFormat="1" x14ac:dyDescent="0.2"/>
    <row r="633" s="273" customFormat="1" x14ac:dyDescent="0.2"/>
    <row r="634" s="273" customFormat="1" x14ac:dyDescent="0.2"/>
    <row r="635" s="273" customFormat="1" x14ac:dyDescent="0.2"/>
    <row r="636" s="273" customFormat="1" x14ac:dyDescent="0.2"/>
    <row r="637" s="273" customFormat="1" x14ac:dyDescent="0.2"/>
    <row r="638" s="273" customFormat="1" x14ac:dyDescent="0.2"/>
    <row r="639" s="273" customFormat="1" x14ac:dyDescent="0.2"/>
    <row r="640" s="273" customFormat="1" x14ac:dyDescent="0.2"/>
    <row r="641" s="273" customFormat="1" x14ac:dyDescent="0.2"/>
    <row r="642" s="273" customFormat="1" x14ac:dyDescent="0.2"/>
    <row r="643" s="273" customFormat="1" x14ac:dyDescent="0.2"/>
    <row r="644" s="273" customFormat="1" x14ac:dyDescent="0.2"/>
    <row r="645" s="273" customFormat="1" x14ac:dyDescent="0.2"/>
    <row r="646" s="273" customFormat="1" x14ac:dyDescent="0.2"/>
    <row r="647" s="273" customFormat="1" x14ac:dyDescent="0.2"/>
    <row r="648" s="273" customFormat="1" x14ac:dyDescent="0.2"/>
    <row r="649" s="273" customFormat="1" x14ac:dyDescent="0.2"/>
    <row r="650" s="273" customFormat="1" x14ac:dyDescent="0.2"/>
    <row r="651" s="273" customFormat="1" x14ac:dyDescent="0.2"/>
    <row r="652" s="273" customFormat="1" x14ac:dyDescent="0.2"/>
    <row r="653" s="273" customFormat="1" x14ac:dyDescent="0.2"/>
    <row r="654" s="273" customFormat="1" x14ac:dyDescent="0.2"/>
    <row r="655" s="273" customFormat="1" x14ac:dyDescent="0.2"/>
    <row r="656" s="273" customFormat="1" x14ac:dyDescent="0.2"/>
    <row r="657" s="273" customFormat="1" x14ac:dyDescent="0.2"/>
    <row r="658" s="273" customFormat="1" x14ac:dyDescent="0.2"/>
    <row r="659" s="273" customFormat="1" x14ac:dyDescent="0.2"/>
    <row r="660" s="273" customFormat="1" x14ac:dyDescent="0.2"/>
    <row r="661" s="273" customFormat="1" x14ac:dyDescent="0.2"/>
    <row r="662" s="273" customFormat="1" x14ac:dyDescent="0.2"/>
    <row r="663" s="273" customFormat="1" x14ac:dyDescent="0.2"/>
    <row r="664" s="273" customFormat="1" x14ac:dyDescent="0.2"/>
    <row r="665" s="273" customFormat="1" x14ac:dyDescent="0.2"/>
    <row r="666" s="273" customFormat="1" x14ac:dyDescent="0.2"/>
    <row r="667" s="273" customFormat="1" x14ac:dyDescent="0.2"/>
    <row r="668" s="273" customFormat="1" x14ac:dyDescent="0.2"/>
    <row r="669" s="273" customFormat="1" x14ac:dyDescent="0.2"/>
    <row r="670" s="273" customFormat="1" x14ac:dyDescent="0.2"/>
    <row r="671" s="273" customFormat="1" x14ac:dyDescent="0.2"/>
    <row r="672" s="273" customFormat="1" x14ac:dyDescent="0.2"/>
    <row r="673" s="273" customFormat="1" x14ac:dyDescent="0.2"/>
    <row r="674" s="273" customFormat="1" x14ac:dyDescent="0.2"/>
    <row r="675" s="273" customFormat="1" x14ac:dyDescent="0.2"/>
    <row r="676" s="273" customFormat="1" x14ac:dyDescent="0.2"/>
    <row r="677" s="273" customFormat="1" x14ac:dyDescent="0.2"/>
    <row r="678" s="273" customFormat="1" x14ac:dyDescent="0.2"/>
    <row r="679" s="273" customFormat="1" x14ac:dyDescent="0.2"/>
    <row r="680" s="273" customFormat="1" x14ac:dyDescent="0.2"/>
    <row r="681" s="273" customFormat="1" x14ac:dyDescent="0.2"/>
    <row r="682" s="273" customFormat="1" x14ac:dyDescent="0.2"/>
    <row r="683" s="273" customFormat="1" x14ac:dyDescent="0.2"/>
    <row r="684" s="273" customFormat="1" x14ac:dyDescent="0.2"/>
    <row r="685" s="273" customFormat="1" x14ac:dyDescent="0.2"/>
    <row r="686" s="273" customFormat="1" x14ac:dyDescent="0.2"/>
    <row r="687" s="273" customFormat="1" x14ac:dyDescent="0.2"/>
    <row r="688" s="273" customFormat="1" x14ac:dyDescent="0.2"/>
    <row r="689" s="273" customFormat="1" x14ac:dyDescent="0.2"/>
    <row r="690" s="273" customFormat="1" x14ac:dyDescent="0.2"/>
    <row r="691" s="273" customFormat="1" x14ac:dyDescent="0.2"/>
    <row r="692" s="273" customFormat="1" x14ac:dyDescent="0.2"/>
    <row r="693" s="273" customFormat="1" x14ac:dyDescent="0.2"/>
    <row r="694" s="273" customFormat="1" x14ac:dyDescent="0.2"/>
    <row r="695" s="273" customFormat="1" x14ac:dyDescent="0.2"/>
    <row r="696" s="273" customFormat="1" x14ac:dyDescent="0.2"/>
    <row r="697" s="273" customFormat="1" x14ac:dyDescent="0.2"/>
    <row r="698" s="273" customFormat="1" x14ac:dyDescent="0.2"/>
    <row r="699" s="273" customFormat="1" x14ac:dyDescent="0.2"/>
    <row r="700" s="273" customFormat="1" x14ac:dyDescent="0.2"/>
    <row r="701" s="273" customFormat="1" x14ac:dyDescent="0.2"/>
    <row r="702" s="273" customFormat="1" x14ac:dyDescent="0.2"/>
    <row r="703" s="273" customFormat="1" x14ac:dyDescent="0.2"/>
    <row r="704" s="273" customFormat="1" x14ac:dyDescent="0.2"/>
    <row r="705" s="273" customFormat="1" x14ac:dyDescent="0.2"/>
    <row r="706" s="273" customFormat="1" x14ac:dyDescent="0.2"/>
    <row r="707" s="273" customFormat="1" x14ac:dyDescent="0.2"/>
    <row r="708" s="273" customFormat="1" x14ac:dyDescent="0.2"/>
    <row r="709" s="273" customFormat="1" x14ac:dyDescent="0.2"/>
    <row r="710" s="273" customFormat="1" x14ac:dyDescent="0.2"/>
    <row r="711" s="273" customFormat="1" x14ac:dyDescent="0.2"/>
    <row r="712" s="273" customFormat="1" x14ac:dyDescent="0.2"/>
    <row r="713" s="273" customFormat="1" x14ac:dyDescent="0.2"/>
    <row r="714" s="273" customFormat="1" x14ac:dyDescent="0.2"/>
    <row r="715" s="273" customFormat="1" x14ac:dyDescent="0.2"/>
    <row r="716" s="273" customFormat="1" x14ac:dyDescent="0.2"/>
    <row r="717" s="273" customFormat="1" x14ac:dyDescent="0.2"/>
    <row r="718" s="273" customFormat="1" x14ac:dyDescent="0.2"/>
    <row r="719" s="273" customFormat="1" x14ac:dyDescent="0.2"/>
    <row r="720" s="273" customFormat="1" x14ac:dyDescent="0.2"/>
    <row r="721" s="273" customFormat="1" x14ac:dyDescent="0.2"/>
    <row r="722" s="273" customFormat="1" x14ac:dyDescent="0.2"/>
    <row r="723" s="273" customFormat="1" x14ac:dyDescent="0.2"/>
    <row r="724" s="273" customFormat="1" x14ac:dyDescent="0.2"/>
    <row r="725" s="273" customFormat="1" x14ac:dyDescent="0.2"/>
    <row r="726" s="273" customFormat="1" x14ac:dyDescent="0.2"/>
    <row r="727" s="273" customFormat="1" x14ac:dyDescent="0.2"/>
    <row r="728" s="273" customFormat="1" x14ac:dyDescent="0.2"/>
    <row r="729" s="273" customFormat="1" x14ac:dyDescent="0.2"/>
    <row r="730" s="273" customFormat="1" x14ac:dyDescent="0.2"/>
    <row r="731" s="273" customFormat="1" x14ac:dyDescent="0.2"/>
    <row r="732" s="273" customFormat="1" x14ac:dyDescent="0.2"/>
    <row r="733" s="273" customFormat="1" x14ac:dyDescent="0.2"/>
    <row r="734" s="273" customFormat="1" x14ac:dyDescent="0.2"/>
    <row r="735" s="273" customFormat="1" x14ac:dyDescent="0.2"/>
    <row r="736" s="273" customFormat="1" x14ac:dyDescent="0.2"/>
    <row r="737" s="273" customFormat="1" x14ac:dyDescent="0.2"/>
    <row r="738" s="273" customFormat="1" x14ac:dyDescent="0.2"/>
    <row r="739" s="273" customFormat="1" x14ac:dyDescent="0.2"/>
    <row r="740" s="273" customFormat="1" x14ac:dyDescent="0.2"/>
    <row r="741" s="273" customFormat="1" x14ac:dyDescent="0.2"/>
    <row r="742" s="273" customFormat="1" x14ac:dyDescent="0.2"/>
    <row r="743" s="273" customFormat="1" x14ac:dyDescent="0.2"/>
    <row r="744" s="273" customFormat="1" x14ac:dyDescent="0.2"/>
    <row r="745" s="273" customFormat="1" x14ac:dyDescent="0.2"/>
    <row r="746" s="273" customFormat="1" x14ac:dyDescent="0.2"/>
    <row r="747" s="273" customFormat="1" x14ac:dyDescent="0.2"/>
    <row r="748" s="273" customFormat="1" x14ac:dyDescent="0.2"/>
    <row r="749" s="273" customFormat="1" x14ac:dyDescent="0.2"/>
    <row r="750" s="273" customFormat="1" x14ac:dyDescent="0.2"/>
    <row r="751" s="273" customFormat="1" x14ac:dyDescent="0.2"/>
    <row r="752" s="273" customFormat="1" x14ac:dyDescent="0.2"/>
    <row r="753" s="273" customFormat="1" x14ac:dyDescent="0.2"/>
    <row r="754" s="273" customFormat="1" x14ac:dyDescent="0.2"/>
    <row r="755" s="273" customFormat="1" x14ac:dyDescent="0.2"/>
    <row r="756" s="273" customFormat="1" x14ac:dyDescent="0.2"/>
    <row r="757" s="273" customFormat="1" x14ac:dyDescent="0.2"/>
    <row r="758" s="273" customFormat="1" x14ac:dyDescent="0.2"/>
    <row r="759" s="273" customFormat="1" x14ac:dyDescent="0.2"/>
    <row r="760" s="273" customFormat="1" x14ac:dyDescent="0.2"/>
    <row r="761" s="273" customFormat="1" x14ac:dyDescent="0.2"/>
    <row r="762" s="273" customFormat="1" x14ac:dyDescent="0.2"/>
    <row r="763" s="273" customFormat="1" x14ac:dyDescent="0.2"/>
    <row r="764" s="273" customFormat="1" x14ac:dyDescent="0.2"/>
    <row r="765" s="273" customFormat="1" x14ac:dyDescent="0.2"/>
    <row r="766" s="273" customFormat="1" x14ac:dyDescent="0.2"/>
    <row r="767" s="273" customFormat="1" x14ac:dyDescent="0.2"/>
    <row r="768" s="273" customFormat="1" x14ac:dyDescent="0.2"/>
    <row r="769" s="273" customFormat="1" x14ac:dyDescent="0.2"/>
    <row r="770" s="273" customFormat="1" x14ac:dyDescent="0.2"/>
    <row r="771" s="273" customFormat="1" x14ac:dyDescent="0.2"/>
    <row r="772" s="273" customFormat="1" x14ac:dyDescent="0.2"/>
    <row r="773" s="273" customFormat="1" x14ac:dyDescent="0.2"/>
    <row r="774" s="273" customFormat="1" x14ac:dyDescent="0.2"/>
    <row r="775" s="273" customFormat="1" x14ac:dyDescent="0.2"/>
    <row r="776" s="273" customFormat="1" x14ac:dyDescent="0.2"/>
    <row r="777" s="273" customFormat="1" x14ac:dyDescent="0.2"/>
    <row r="778" s="273" customFormat="1" x14ac:dyDescent="0.2"/>
    <row r="779" s="273" customFormat="1" x14ac:dyDescent="0.2"/>
    <row r="780" s="273" customFormat="1" x14ac:dyDescent="0.2"/>
    <row r="781" s="273" customFormat="1" x14ac:dyDescent="0.2"/>
    <row r="782" s="273" customFormat="1" x14ac:dyDescent="0.2"/>
    <row r="783" s="273" customFormat="1" x14ac:dyDescent="0.2"/>
    <row r="784" s="273" customFormat="1" x14ac:dyDescent="0.2"/>
    <row r="785" s="273" customFormat="1" x14ac:dyDescent="0.2"/>
    <row r="786" s="273" customFormat="1" x14ac:dyDescent="0.2"/>
    <row r="787" s="273" customFormat="1" x14ac:dyDescent="0.2"/>
    <row r="788" s="273" customFormat="1" x14ac:dyDescent="0.2"/>
    <row r="789" s="273" customFormat="1" x14ac:dyDescent="0.2"/>
    <row r="790" s="273" customFormat="1" x14ac:dyDescent="0.2"/>
    <row r="791" s="273" customFormat="1" x14ac:dyDescent="0.2"/>
    <row r="792" s="273" customFormat="1" x14ac:dyDescent="0.2"/>
    <row r="793" s="273" customFormat="1" x14ac:dyDescent="0.2"/>
    <row r="794" s="273" customFormat="1" x14ac:dyDescent="0.2"/>
    <row r="795" s="273" customFormat="1" x14ac:dyDescent="0.2"/>
    <row r="796" s="273" customFormat="1" x14ac:dyDescent="0.2"/>
    <row r="797" s="273" customFormat="1" x14ac:dyDescent="0.2"/>
    <row r="798" s="273" customFormat="1" x14ac:dyDescent="0.2"/>
    <row r="799" s="273" customFormat="1" x14ac:dyDescent="0.2"/>
    <row r="800" s="273" customFormat="1" x14ac:dyDescent="0.2"/>
    <row r="801" s="273" customFormat="1" x14ac:dyDescent="0.2"/>
    <row r="802" s="273" customFormat="1" x14ac:dyDescent="0.2"/>
    <row r="803" s="273" customFormat="1" x14ac:dyDescent="0.2"/>
    <row r="804" s="273" customFormat="1" x14ac:dyDescent="0.2"/>
    <row r="805" s="273" customFormat="1" x14ac:dyDescent="0.2"/>
    <row r="806" s="273" customFormat="1" x14ac:dyDescent="0.2"/>
    <row r="807" s="273" customFormat="1" x14ac:dyDescent="0.2"/>
    <row r="808" s="273" customFormat="1" x14ac:dyDescent="0.2"/>
    <row r="809" s="273" customFormat="1" x14ac:dyDescent="0.2"/>
    <row r="810" s="273" customFormat="1" x14ac:dyDescent="0.2"/>
    <row r="811" s="273" customFormat="1" x14ac:dyDescent="0.2"/>
    <row r="812" s="273" customFormat="1" x14ac:dyDescent="0.2"/>
    <row r="813" s="273" customFormat="1" x14ac:dyDescent="0.2"/>
    <row r="814" s="273" customFormat="1" x14ac:dyDescent="0.2"/>
    <row r="815" s="273" customFormat="1" x14ac:dyDescent="0.2"/>
    <row r="816" s="273" customFormat="1" x14ac:dyDescent="0.2"/>
    <row r="817" s="273" customFormat="1" x14ac:dyDescent="0.2"/>
    <row r="818" s="273" customFormat="1" x14ac:dyDescent="0.2"/>
    <row r="819" s="273" customFormat="1" x14ac:dyDescent="0.2"/>
    <row r="820" s="273" customFormat="1" x14ac:dyDescent="0.2"/>
    <row r="821" s="273" customFormat="1" x14ac:dyDescent="0.2"/>
    <row r="822" s="273" customFormat="1" x14ac:dyDescent="0.2"/>
    <row r="823" s="273" customFormat="1" x14ac:dyDescent="0.2"/>
    <row r="824" s="273" customFormat="1" x14ac:dyDescent="0.2"/>
    <row r="825" s="273" customFormat="1" x14ac:dyDescent="0.2"/>
    <row r="826" s="273" customFormat="1" x14ac:dyDescent="0.2"/>
    <row r="827" s="273" customFormat="1" x14ac:dyDescent="0.2"/>
    <row r="828" s="273" customFormat="1" x14ac:dyDescent="0.2"/>
    <row r="829" s="273" customFormat="1" x14ac:dyDescent="0.2"/>
    <row r="830" s="273" customFormat="1" x14ac:dyDescent="0.2"/>
    <row r="831" s="273" customFormat="1" x14ac:dyDescent="0.2"/>
    <row r="832" s="273" customFormat="1" x14ac:dyDescent="0.2"/>
    <row r="833" s="273" customFormat="1" x14ac:dyDescent="0.2"/>
    <row r="834" s="273" customFormat="1" x14ac:dyDescent="0.2"/>
    <row r="835" s="273" customFormat="1" x14ac:dyDescent="0.2"/>
    <row r="836" s="273" customFormat="1" x14ac:dyDescent="0.2"/>
    <row r="837" s="273" customFormat="1" x14ac:dyDescent="0.2"/>
    <row r="838" s="273" customFormat="1" x14ac:dyDescent="0.2"/>
    <row r="839" s="273" customFormat="1" x14ac:dyDescent="0.2"/>
    <row r="840" s="273" customFormat="1" x14ac:dyDescent="0.2"/>
    <row r="841" s="273" customFormat="1" x14ac:dyDescent="0.2"/>
    <row r="842" s="273" customFormat="1" x14ac:dyDescent="0.2"/>
    <row r="843" s="273" customFormat="1" x14ac:dyDescent="0.2"/>
    <row r="844" s="273" customFormat="1" x14ac:dyDescent="0.2"/>
    <row r="845" s="273" customFormat="1" x14ac:dyDescent="0.2"/>
    <row r="846" s="273" customFormat="1" x14ac:dyDescent="0.2"/>
    <row r="847" s="273" customFormat="1" x14ac:dyDescent="0.2"/>
    <row r="848" s="273" customFormat="1" x14ac:dyDescent="0.2"/>
    <row r="849" s="273" customFormat="1" x14ac:dyDescent="0.2"/>
    <row r="850" s="273" customFormat="1" x14ac:dyDescent="0.2"/>
    <row r="851" s="273" customFormat="1" x14ac:dyDescent="0.2"/>
    <row r="852" s="273" customFormat="1" x14ac:dyDescent="0.2"/>
    <row r="853" s="273" customFormat="1" x14ac:dyDescent="0.2"/>
    <row r="854" s="273" customFormat="1" x14ac:dyDescent="0.2"/>
    <row r="855" s="273" customFormat="1" x14ac:dyDescent="0.2"/>
    <row r="856" s="273" customFormat="1" x14ac:dyDescent="0.2"/>
    <row r="857" s="273" customFormat="1" x14ac:dyDescent="0.2"/>
    <row r="858" s="273" customFormat="1" x14ac:dyDescent="0.2"/>
    <row r="859" s="273" customFormat="1" x14ac:dyDescent="0.2"/>
    <row r="860" s="273" customFormat="1" x14ac:dyDescent="0.2"/>
    <row r="861" s="273" customFormat="1" x14ac:dyDescent="0.2"/>
    <row r="862" s="273" customFormat="1" x14ac:dyDescent="0.2"/>
    <row r="863" s="273" customFormat="1" x14ac:dyDescent="0.2"/>
    <row r="864" s="273" customFormat="1" x14ac:dyDescent="0.2"/>
    <row r="865" s="273" customFormat="1" x14ac:dyDescent="0.2"/>
    <row r="866" s="273" customFormat="1" x14ac:dyDescent="0.2"/>
    <row r="867" s="273" customFormat="1" x14ac:dyDescent="0.2"/>
    <row r="868" s="273" customFormat="1" x14ac:dyDescent="0.2"/>
    <row r="869" s="273" customFormat="1" x14ac:dyDescent="0.2"/>
    <row r="870" s="273" customFormat="1" x14ac:dyDescent="0.2"/>
    <row r="871" s="273" customFormat="1" x14ac:dyDescent="0.2"/>
    <row r="872" s="273" customFormat="1" x14ac:dyDescent="0.2"/>
    <row r="873" s="273" customFormat="1" x14ac:dyDescent="0.2"/>
    <row r="874" s="273" customFormat="1" x14ac:dyDescent="0.2"/>
    <row r="875" s="273" customFormat="1" x14ac:dyDescent="0.2"/>
    <row r="876" s="273" customFormat="1" x14ac:dyDescent="0.2"/>
    <row r="877" s="273" customFormat="1" x14ac:dyDescent="0.2"/>
    <row r="878" s="273" customFormat="1" x14ac:dyDescent="0.2"/>
    <row r="879" s="273" customFormat="1" x14ac:dyDescent="0.2"/>
    <row r="880" s="273" customFormat="1" x14ac:dyDescent="0.2"/>
    <row r="881" s="273" customFormat="1" x14ac:dyDescent="0.2"/>
    <row r="882" s="273" customFormat="1" x14ac:dyDescent="0.2"/>
    <row r="883" s="273" customFormat="1" x14ac:dyDescent="0.2"/>
    <row r="884" s="273" customFormat="1" x14ac:dyDescent="0.2"/>
    <row r="885" s="273" customFormat="1" x14ac:dyDescent="0.2"/>
    <row r="886" s="273" customFormat="1" x14ac:dyDescent="0.2"/>
    <row r="887" s="273" customFormat="1" x14ac:dyDescent="0.2"/>
    <row r="888" s="273" customFormat="1" x14ac:dyDescent="0.2"/>
    <row r="889" s="273" customFormat="1" x14ac:dyDescent="0.2"/>
    <row r="890" s="273" customFormat="1" x14ac:dyDescent="0.2"/>
    <row r="891" s="273" customFormat="1" x14ac:dyDescent="0.2"/>
    <row r="892" s="273" customFormat="1" x14ac:dyDescent="0.2"/>
    <row r="893" s="273" customFormat="1" x14ac:dyDescent="0.2"/>
    <row r="894" s="273" customFormat="1" x14ac:dyDescent="0.2"/>
    <row r="895" s="273" customFormat="1" x14ac:dyDescent="0.2"/>
    <row r="896" s="273" customFormat="1" x14ac:dyDescent="0.2"/>
    <row r="897" s="273" customFormat="1" x14ac:dyDescent="0.2"/>
    <row r="898" s="273" customFormat="1" x14ac:dyDescent="0.2"/>
    <row r="899" s="273" customFormat="1" x14ac:dyDescent="0.2"/>
    <row r="900" s="273" customFormat="1" x14ac:dyDescent="0.2"/>
    <row r="901" s="273" customFormat="1" x14ac:dyDescent="0.2"/>
    <row r="902" s="273" customFormat="1" x14ac:dyDescent="0.2"/>
    <row r="903" s="273" customFormat="1" x14ac:dyDescent="0.2"/>
    <row r="904" s="273" customFormat="1" x14ac:dyDescent="0.2"/>
    <row r="905" s="273" customFormat="1" x14ac:dyDescent="0.2"/>
    <row r="906" s="273" customFormat="1" x14ac:dyDescent="0.2"/>
    <row r="907" s="273" customFormat="1" x14ac:dyDescent="0.2"/>
    <row r="908" s="273" customFormat="1" x14ac:dyDescent="0.2"/>
    <row r="909" s="273" customFormat="1" x14ac:dyDescent="0.2"/>
    <row r="910" s="273" customFormat="1" x14ac:dyDescent="0.2"/>
    <row r="911" s="273" customFormat="1" x14ac:dyDescent="0.2"/>
    <row r="912" s="273" customFormat="1" x14ac:dyDescent="0.2"/>
    <row r="913" s="273" customFormat="1" x14ac:dyDescent="0.2"/>
    <row r="914" s="273" customFormat="1" x14ac:dyDescent="0.2"/>
    <row r="915" s="273" customFormat="1" x14ac:dyDescent="0.2"/>
    <row r="916" s="273" customFormat="1" x14ac:dyDescent="0.2"/>
    <row r="917" s="273" customFormat="1" x14ac:dyDescent="0.2"/>
    <row r="918" s="273" customFormat="1" x14ac:dyDescent="0.2"/>
    <row r="919" s="273" customFormat="1" x14ac:dyDescent="0.2"/>
    <row r="920" s="273" customFormat="1" x14ac:dyDescent="0.2"/>
    <row r="921" s="273" customFormat="1" x14ac:dyDescent="0.2"/>
    <row r="922" s="273" customFormat="1" x14ac:dyDescent="0.2"/>
    <row r="923" s="273" customFormat="1" x14ac:dyDescent="0.2"/>
    <row r="924" s="273" customFormat="1" x14ac:dyDescent="0.2"/>
    <row r="925" s="273" customFormat="1" x14ac:dyDescent="0.2"/>
    <row r="926" s="273" customFormat="1" x14ac:dyDescent="0.2"/>
    <row r="927" s="273" customFormat="1" x14ac:dyDescent="0.2"/>
    <row r="928" s="273" customFormat="1" x14ac:dyDescent="0.2"/>
    <row r="929" s="273" customFormat="1" x14ac:dyDescent="0.2"/>
    <row r="930" s="273" customFormat="1" x14ac:dyDescent="0.2"/>
    <row r="931" s="273" customFormat="1" x14ac:dyDescent="0.2"/>
    <row r="932" s="273" customFormat="1" x14ac:dyDescent="0.2"/>
    <row r="933" s="273" customFormat="1" x14ac:dyDescent="0.2"/>
    <row r="934" s="273" customFormat="1" x14ac:dyDescent="0.2"/>
    <row r="935" s="273" customFormat="1" x14ac:dyDescent="0.2"/>
    <row r="936" s="273" customFormat="1" x14ac:dyDescent="0.2"/>
    <row r="937" s="273" customFormat="1" x14ac:dyDescent="0.2"/>
    <row r="938" s="273" customFormat="1" x14ac:dyDescent="0.2"/>
    <row r="939" s="273" customFormat="1" x14ac:dyDescent="0.2"/>
    <row r="940" s="273" customFormat="1" x14ac:dyDescent="0.2"/>
    <row r="941" s="273" customFormat="1" x14ac:dyDescent="0.2"/>
    <row r="942" s="273" customFormat="1" x14ac:dyDescent="0.2"/>
    <row r="943" s="273" customFormat="1" x14ac:dyDescent="0.2"/>
    <row r="944" s="273" customFormat="1" x14ac:dyDescent="0.2"/>
    <row r="945" s="273" customFormat="1" x14ac:dyDescent="0.2"/>
    <row r="946" s="273" customFormat="1" x14ac:dyDescent="0.2"/>
    <row r="947" s="273" customFormat="1" x14ac:dyDescent="0.2"/>
    <row r="948" s="273" customFormat="1" x14ac:dyDescent="0.2"/>
    <row r="949" s="273" customFormat="1" x14ac:dyDescent="0.2"/>
    <row r="950" s="273" customFormat="1" x14ac:dyDescent="0.2"/>
    <row r="951" s="273" customFormat="1" x14ac:dyDescent="0.2"/>
    <row r="952" s="273" customFormat="1" x14ac:dyDescent="0.2"/>
    <row r="953" s="273" customFormat="1" x14ac:dyDescent="0.2"/>
    <row r="954" s="273" customFormat="1" x14ac:dyDescent="0.2"/>
    <row r="955" s="273" customFormat="1" x14ac:dyDescent="0.2"/>
    <row r="956" s="273" customFormat="1" x14ac:dyDescent="0.2"/>
    <row r="957" s="273" customFormat="1" x14ac:dyDescent="0.2"/>
    <row r="958" s="273" customFormat="1" x14ac:dyDescent="0.2"/>
    <row r="959" s="273" customFormat="1" x14ac:dyDescent="0.2"/>
    <row r="960" s="273" customFormat="1" x14ac:dyDescent="0.2"/>
    <row r="961" s="273" customFormat="1" x14ac:dyDescent="0.2"/>
    <row r="962" s="273" customFormat="1" x14ac:dyDescent="0.2"/>
    <row r="963" s="273" customFormat="1" x14ac:dyDescent="0.2"/>
    <row r="964" s="273" customFormat="1" x14ac:dyDescent="0.2"/>
    <row r="965" s="273" customFormat="1" x14ac:dyDescent="0.2"/>
    <row r="966" s="273" customFormat="1" x14ac:dyDescent="0.2"/>
    <row r="967" s="273" customFormat="1" x14ac:dyDescent="0.2"/>
    <row r="968" s="273" customFormat="1" x14ac:dyDescent="0.2"/>
    <row r="969" s="273" customFormat="1" x14ac:dyDescent="0.2"/>
    <row r="970" s="273" customFormat="1" x14ac:dyDescent="0.2"/>
    <row r="971" s="273" customFormat="1" x14ac:dyDescent="0.2"/>
    <row r="972" s="273" customFormat="1" x14ac:dyDescent="0.2"/>
    <row r="973" s="273" customFormat="1" x14ac:dyDescent="0.2"/>
    <row r="974" s="273" customFormat="1" x14ac:dyDescent="0.2"/>
    <row r="975" s="273" customFormat="1" x14ac:dyDescent="0.2"/>
    <row r="976" s="273" customFormat="1" x14ac:dyDescent="0.2"/>
    <row r="977" s="273" customFormat="1" x14ac:dyDescent="0.2"/>
    <row r="978" s="273" customFormat="1" x14ac:dyDescent="0.2"/>
    <row r="979" s="273" customFormat="1" x14ac:dyDescent="0.2"/>
    <row r="980" s="273" customFormat="1" x14ac:dyDescent="0.2"/>
    <row r="981" s="273" customFormat="1" x14ac:dyDescent="0.2"/>
    <row r="982" s="273" customFormat="1" x14ac:dyDescent="0.2"/>
    <row r="983" s="273" customFormat="1" x14ac:dyDescent="0.2"/>
    <row r="984" s="273" customFormat="1" x14ac:dyDescent="0.2"/>
    <row r="985" s="273" customFormat="1" x14ac:dyDescent="0.2"/>
    <row r="986" s="273" customFormat="1" x14ac:dyDescent="0.2"/>
    <row r="987" s="273" customFormat="1" x14ac:dyDescent="0.2"/>
    <row r="988" s="273" customFormat="1" x14ac:dyDescent="0.2"/>
    <row r="989" s="273" customFormat="1" x14ac:dyDescent="0.2"/>
    <row r="990" s="273" customFormat="1" x14ac:dyDescent="0.2"/>
    <row r="991" s="273" customFormat="1" x14ac:dyDescent="0.2"/>
    <row r="992" s="273" customFormat="1" x14ac:dyDescent="0.2"/>
    <row r="993" s="273" customFormat="1" x14ac:dyDescent="0.2"/>
    <row r="994" s="273" customFormat="1" x14ac:dyDescent="0.2"/>
    <row r="995" s="273" customFormat="1" x14ac:dyDescent="0.2"/>
    <row r="996" s="273" customFormat="1" x14ac:dyDescent="0.2"/>
    <row r="997" s="273" customFormat="1" x14ac:dyDescent="0.2"/>
    <row r="998" s="273" customFormat="1" x14ac:dyDescent="0.2"/>
    <row r="999" s="273" customFormat="1" x14ac:dyDescent="0.2"/>
    <row r="1000" s="273" customFormat="1" x14ac:dyDescent="0.2"/>
    <row r="1001" s="273" customFormat="1" x14ac:dyDescent="0.2"/>
    <row r="1002" s="273" customFormat="1" x14ac:dyDescent="0.2"/>
    <row r="1003" s="273" customFormat="1" x14ac:dyDescent="0.2"/>
    <row r="1004" s="273" customFormat="1" x14ac:dyDescent="0.2"/>
    <row r="1005" s="273" customFormat="1" x14ac:dyDescent="0.2"/>
    <row r="1006" s="273" customFormat="1" x14ac:dyDescent="0.2"/>
    <row r="1007" s="273" customFormat="1" x14ac:dyDescent="0.2"/>
    <row r="1008" s="273" customFormat="1" x14ac:dyDescent="0.2"/>
    <row r="1009" s="273" customFormat="1" x14ac:dyDescent="0.2"/>
    <row r="1010" s="273" customFormat="1" x14ac:dyDescent="0.2"/>
    <row r="1011" s="273" customFormat="1" x14ac:dyDescent="0.2"/>
    <row r="1012" s="273" customFormat="1" x14ac:dyDescent="0.2"/>
    <row r="1013" s="273" customFormat="1" x14ac:dyDescent="0.2"/>
    <row r="1014" s="273" customFormat="1" x14ac:dyDescent="0.2"/>
    <row r="1015" s="273" customFormat="1" x14ac:dyDescent="0.2"/>
    <row r="1016" s="273" customFormat="1" x14ac:dyDescent="0.2"/>
    <row r="1017" s="273" customFormat="1" x14ac:dyDescent="0.2"/>
    <row r="1018" s="273" customFormat="1" x14ac:dyDescent="0.2"/>
    <row r="1019" s="273" customFormat="1" x14ac:dyDescent="0.2"/>
    <row r="1020" s="273" customFormat="1" x14ac:dyDescent="0.2"/>
    <row r="1021" s="273" customFormat="1" x14ac:dyDescent="0.2"/>
    <row r="1022" s="273" customFormat="1" x14ac:dyDescent="0.2"/>
    <row r="1023" s="273" customFormat="1" x14ac:dyDescent="0.2"/>
    <row r="1024" s="273" customFormat="1" x14ac:dyDescent="0.2"/>
    <row r="1025" s="273" customFormat="1" x14ac:dyDescent="0.2"/>
    <row r="1026" s="273" customFormat="1" x14ac:dyDescent="0.2"/>
    <row r="1027" s="273" customFormat="1" x14ac:dyDescent="0.2"/>
    <row r="1028" s="273" customFormat="1" x14ac:dyDescent="0.2"/>
    <row r="1029" s="273" customFormat="1" x14ac:dyDescent="0.2"/>
    <row r="1030" s="273" customFormat="1" x14ac:dyDescent="0.2"/>
    <row r="1031" s="273" customFormat="1" x14ac:dyDescent="0.2"/>
    <row r="1032" s="273" customFormat="1" x14ac:dyDescent="0.2"/>
    <row r="1033" s="273" customFormat="1" x14ac:dyDescent="0.2"/>
    <row r="1034" s="273" customFormat="1" x14ac:dyDescent="0.2"/>
    <row r="1035" s="273" customFormat="1" x14ac:dyDescent="0.2"/>
    <row r="1036" s="273" customFormat="1" x14ac:dyDescent="0.2"/>
    <row r="1037" s="273" customFormat="1" x14ac:dyDescent="0.2"/>
    <row r="1038" s="273" customFormat="1" x14ac:dyDescent="0.2"/>
    <row r="1039" s="273" customFormat="1" x14ac:dyDescent="0.2"/>
    <row r="1040" s="273" customFormat="1" x14ac:dyDescent="0.2"/>
    <row r="1041" s="273" customFormat="1" x14ac:dyDescent="0.2"/>
    <row r="1042" s="273" customFormat="1" x14ac:dyDescent="0.2"/>
    <row r="1043" s="273" customFormat="1" x14ac:dyDescent="0.2"/>
    <row r="1044" s="273" customFormat="1" x14ac:dyDescent="0.2"/>
    <row r="1045" s="273" customFormat="1" x14ac:dyDescent="0.2"/>
    <row r="1046" s="273" customFormat="1" x14ac:dyDescent="0.2"/>
    <row r="1047" s="273" customFormat="1" x14ac:dyDescent="0.2"/>
    <row r="1048" s="273" customFormat="1" x14ac:dyDescent="0.2"/>
    <row r="1049" s="273" customFormat="1" x14ac:dyDescent="0.2"/>
    <row r="1050" s="273" customFormat="1" x14ac:dyDescent="0.2"/>
    <row r="1051" s="273" customFormat="1" x14ac:dyDescent="0.2"/>
    <row r="1052" s="273" customFormat="1" x14ac:dyDescent="0.2"/>
    <row r="1053" s="273" customFormat="1" x14ac:dyDescent="0.2"/>
    <row r="1054" s="273" customFormat="1" x14ac:dyDescent="0.2"/>
    <row r="1055" s="273" customFormat="1" x14ac:dyDescent="0.2"/>
    <row r="1056" s="273" customFormat="1" x14ac:dyDescent="0.2"/>
    <row r="1057" s="273" customFormat="1" x14ac:dyDescent="0.2"/>
    <row r="1058" s="273" customFormat="1" x14ac:dyDescent="0.2"/>
    <row r="1059" s="273" customFormat="1" x14ac:dyDescent="0.2"/>
    <row r="1060" s="273" customFormat="1" x14ac:dyDescent="0.2"/>
    <row r="1061" s="273" customFormat="1" x14ac:dyDescent="0.2"/>
    <row r="1062" s="273" customFormat="1" x14ac:dyDescent="0.2"/>
    <row r="1063" s="273" customFormat="1" x14ac:dyDescent="0.2"/>
    <row r="1064" s="273" customFormat="1" x14ac:dyDescent="0.2"/>
    <row r="1065" s="273" customFormat="1" x14ac:dyDescent="0.2"/>
    <row r="1066" s="273" customFormat="1" x14ac:dyDescent="0.2"/>
    <row r="1067" s="273" customFormat="1" x14ac:dyDescent="0.2"/>
    <row r="1068" s="273" customFormat="1" x14ac:dyDescent="0.2"/>
    <row r="1069" s="273" customFormat="1" x14ac:dyDescent="0.2"/>
    <row r="1070" s="273" customFormat="1" x14ac:dyDescent="0.2"/>
    <row r="1071" s="273" customFormat="1" x14ac:dyDescent="0.2"/>
    <row r="1072" s="273" customFormat="1" x14ac:dyDescent="0.2"/>
    <row r="1073" s="273" customFormat="1" x14ac:dyDescent="0.2"/>
    <row r="1074" s="273" customFormat="1" x14ac:dyDescent="0.2"/>
    <row r="1075" s="273" customFormat="1" x14ac:dyDescent="0.2"/>
    <row r="1076" s="273" customFormat="1" x14ac:dyDescent="0.2"/>
    <row r="1077" s="273" customFormat="1" x14ac:dyDescent="0.2"/>
    <row r="1078" s="273" customFormat="1" x14ac:dyDescent="0.2"/>
    <row r="1079" s="273" customFormat="1" x14ac:dyDescent="0.2"/>
    <row r="1080" s="273" customFormat="1" x14ac:dyDescent="0.2"/>
    <row r="1081" s="273" customFormat="1" x14ac:dyDescent="0.2"/>
    <row r="1082" s="273" customFormat="1" x14ac:dyDescent="0.2"/>
    <row r="1083" s="273" customFormat="1" x14ac:dyDescent="0.2"/>
    <row r="1084" s="273" customFormat="1" x14ac:dyDescent="0.2"/>
    <row r="1085" s="273" customFormat="1" x14ac:dyDescent="0.2"/>
    <row r="1086" s="273" customFormat="1" x14ac:dyDescent="0.2"/>
    <row r="1087" s="273" customFormat="1" x14ac:dyDescent="0.2"/>
    <row r="1088" s="273" customFormat="1" x14ac:dyDescent="0.2"/>
    <row r="1089" s="273" customFormat="1" x14ac:dyDescent="0.2"/>
    <row r="1090" s="273" customFormat="1" x14ac:dyDescent="0.2"/>
    <row r="1091" s="273" customFormat="1" x14ac:dyDescent="0.2"/>
    <row r="1092" s="273" customFormat="1" x14ac:dyDescent="0.2"/>
    <row r="1093" s="273" customFormat="1" x14ac:dyDescent="0.2"/>
    <row r="1094" s="273" customFormat="1" x14ac:dyDescent="0.2"/>
    <row r="1095" s="273" customFormat="1" x14ac:dyDescent="0.2"/>
    <row r="1096" s="273" customFormat="1" x14ac:dyDescent="0.2"/>
    <row r="1097" s="273" customFormat="1" x14ac:dyDescent="0.2"/>
    <row r="1098" s="273" customFormat="1" x14ac:dyDescent="0.2"/>
    <row r="1099" s="273" customFormat="1" x14ac:dyDescent="0.2"/>
    <row r="1100" s="273" customFormat="1" x14ac:dyDescent="0.2"/>
    <row r="1101" s="273" customFormat="1" x14ac:dyDescent="0.2"/>
    <row r="1102" s="273" customFormat="1" x14ac:dyDescent="0.2"/>
    <row r="1103" s="273" customFormat="1" x14ac:dyDescent="0.2"/>
    <row r="1104" s="273" customFormat="1" x14ac:dyDescent="0.2"/>
    <row r="1105" s="273" customFormat="1" x14ac:dyDescent="0.2"/>
    <row r="1106" s="273" customFormat="1" x14ac:dyDescent="0.2"/>
    <row r="1107" s="273" customFormat="1" x14ac:dyDescent="0.2"/>
    <row r="1108" s="273" customFormat="1" x14ac:dyDescent="0.2"/>
    <row r="1109" s="273" customFormat="1" x14ac:dyDescent="0.2"/>
    <row r="1110" s="273" customFormat="1" x14ac:dyDescent="0.2"/>
    <row r="1111" s="273" customFormat="1" x14ac:dyDescent="0.2"/>
    <row r="1112" s="273" customFormat="1" x14ac:dyDescent="0.2"/>
    <row r="1113" s="273" customFormat="1" x14ac:dyDescent="0.2"/>
    <row r="1114" s="273" customFormat="1" x14ac:dyDescent="0.2"/>
    <row r="1115" s="273" customFormat="1" x14ac:dyDescent="0.2"/>
    <row r="1116" s="273" customFormat="1" x14ac:dyDescent="0.2"/>
    <row r="1117" s="273" customFormat="1" x14ac:dyDescent="0.2"/>
    <row r="1118" s="273" customFormat="1" x14ac:dyDescent="0.2"/>
    <row r="1119" s="273" customFormat="1" x14ac:dyDescent="0.2"/>
    <row r="1120" s="273" customFormat="1" x14ac:dyDescent="0.2"/>
    <row r="1121" s="273" customFormat="1" x14ac:dyDescent="0.2"/>
    <row r="1122" s="273" customFormat="1" x14ac:dyDescent="0.2"/>
    <row r="1123" s="273" customFormat="1" x14ac:dyDescent="0.2"/>
    <row r="1124" s="273" customFormat="1" x14ac:dyDescent="0.2"/>
    <row r="1125" s="273" customFormat="1" x14ac:dyDescent="0.2"/>
    <row r="1126" s="273" customFormat="1" x14ac:dyDescent="0.2"/>
    <row r="1127" s="273" customFormat="1" x14ac:dyDescent="0.2"/>
    <row r="1128" s="273" customFormat="1" x14ac:dyDescent="0.2"/>
    <row r="1129" s="273" customFormat="1" x14ac:dyDescent="0.2"/>
    <row r="1130" s="273" customFormat="1" x14ac:dyDescent="0.2"/>
    <row r="1131" s="273" customFormat="1" x14ac:dyDescent="0.2"/>
    <row r="1132" s="273" customFormat="1" x14ac:dyDescent="0.2"/>
    <row r="1133" s="273" customFormat="1" x14ac:dyDescent="0.2"/>
    <row r="1134" s="273" customFormat="1" x14ac:dyDescent="0.2"/>
    <row r="1135" s="273" customFormat="1" x14ac:dyDescent="0.2"/>
    <row r="1136" s="273" customFormat="1" x14ac:dyDescent="0.2"/>
    <row r="1137" s="273" customFormat="1" x14ac:dyDescent="0.2"/>
    <row r="1138" s="273" customFormat="1" x14ac:dyDescent="0.2"/>
    <row r="1139" s="273" customFormat="1" x14ac:dyDescent="0.2"/>
    <row r="1140" s="273" customFormat="1" x14ac:dyDescent="0.2"/>
    <row r="1141" s="273" customFormat="1" x14ac:dyDescent="0.2"/>
    <row r="1142" s="273" customFormat="1" x14ac:dyDescent="0.2"/>
    <row r="1143" s="273" customFormat="1" x14ac:dyDescent="0.2"/>
    <row r="1144" s="273" customFormat="1" x14ac:dyDescent="0.2"/>
    <row r="1145" s="273" customFormat="1" x14ac:dyDescent="0.2"/>
    <row r="1146" s="273" customFormat="1" x14ac:dyDescent="0.2"/>
    <row r="1147" s="273" customFormat="1" x14ac:dyDescent="0.2"/>
    <row r="1148" s="273" customFormat="1" x14ac:dyDescent="0.2"/>
    <row r="1149" s="273" customFormat="1" x14ac:dyDescent="0.2"/>
    <row r="1150" s="273" customFormat="1" x14ac:dyDescent="0.2"/>
    <row r="1151" s="273" customFormat="1" x14ac:dyDescent="0.2"/>
    <row r="1152" s="273" customFormat="1" x14ac:dyDescent="0.2"/>
    <row r="1153" s="273" customFormat="1" x14ac:dyDescent="0.2"/>
    <row r="1154" s="273" customFormat="1" x14ac:dyDescent="0.2"/>
    <row r="1155" s="273" customFormat="1" x14ac:dyDescent="0.2"/>
    <row r="1156" s="273" customFormat="1" x14ac:dyDescent="0.2"/>
    <row r="1157" s="273" customFormat="1" x14ac:dyDescent="0.2"/>
    <row r="1158" s="273" customFormat="1" x14ac:dyDescent="0.2"/>
    <row r="1159" s="273" customFormat="1" x14ac:dyDescent="0.2"/>
    <row r="1160" s="273" customFormat="1" x14ac:dyDescent="0.2"/>
    <row r="1161" s="273" customFormat="1" x14ac:dyDescent="0.2"/>
    <row r="1162" s="273" customFormat="1" x14ac:dyDescent="0.2"/>
    <row r="1163" s="273" customFormat="1" x14ac:dyDescent="0.2"/>
    <row r="1164" s="273" customFormat="1" x14ac:dyDescent="0.2"/>
    <row r="1165" s="273" customFormat="1" x14ac:dyDescent="0.2"/>
    <row r="1166" s="273" customFormat="1" x14ac:dyDescent="0.2"/>
    <row r="1167" s="273" customFormat="1" x14ac:dyDescent="0.2"/>
    <row r="1168" s="273" customFormat="1" x14ac:dyDescent="0.2"/>
    <row r="1169" s="273" customFormat="1" x14ac:dyDescent="0.2"/>
    <row r="1170" s="273" customFormat="1" x14ac:dyDescent="0.2"/>
    <row r="1171" s="273" customFormat="1" x14ac:dyDescent="0.2"/>
    <row r="1172" s="273" customFormat="1" x14ac:dyDescent="0.2"/>
    <row r="1173" s="273" customFormat="1" x14ac:dyDescent="0.2"/>
    <row r="1174" s="273" customFormat="1" x14ac:dyDescent="0.2"/>
    <row r="1175" s="273" customFormat="1" x14ac:dyDescent="0.2"/>
    <row r="1176" s="273" customFormat="1" x14ac:dyDescent="0.2"/>
    <row r="1177" s="273" customFormat="1" x14ac:dyDescent="0.2"/>
    <row r="1178" s="273" customFormat="1" x14ac:dyDescent="0.2"/>
    <row r="1179" s="273" customFormat="1" x14ac:dyDescent="0.2"/>
    <row r="1180" s="273" customFormat="1" x14ac:dyDescent="0.2"/>
    <row r="1181" s="273" customFormat="1" x14ac:dyDescent="0.2"/>
    <row r="1182" s="273" customFormat="1" x14ac:dyDescent="0.2"/>
    <row r="1183" s="273" customFormat="1" x14ac:dyDescent="0.2"/>
    <row r="1184" s="273" customFormat="1" x14ac:dyDescent="0.2"/>
    <row r="1185" s="273" customFormat="1" x14ac:dyDescent="0.2"/>
    <row r="1186" s="273" customFormat="1" x14ac:dyDescent="0.2"/>
    <row r="1187" s="273" customFormat="1" x14ac:dyDescent="0.2"/>
    <row r="1188" s="273" customFormat="1" x14ac:dyDescent="0.2"/>
    <row r="1189" s="273" customFormat="1" x14ac:dyDescent="0.2"/>
    <row r="1190" s="273" customFormat="1" x14ac:dyDescent="0.2"/>
    <row r="1191" s="273" customFormat="1" x14ac:dyDescent="0.2"/>
    <row r="1192" s="273" customFormat="1" x14ac:dyDescent="0.2"/>
    <row r="1193" s="273" customFormat="1" x14ac:dyDescent="0.2"/>
    <row r="1194" s="273" customFormat="1" x14ac:dyDescent="0.2"/>
    <row r="1195" s="273" customFormat="1" x14ac:dyDescent="0.2"/>
    <row r="1196" s="273" customFormat="1" x14ac:dyDescent="0.2"/>
    <row r="1197" s="273" customFormat="1" x14ac:dyDescent="0.2"/>
    <row r="1198" s="273" customFormat="1" x14ac:dyDescent="0.2"/>
    <row r="1199" s="273" customFormat="1" x14ac:dyDescent="0.2"/>
    <row r="1200" s="273" customFormat="1" x14ac:dyDescent="0.2"/>
    <row r="1201" s="273" customFormat="1" x14ac:dyDescent="0.2"/>
    <row r="1202" s="273" customFormat="1" x14ac:dyDescent="0.2"/>
    <row r="1203" s="273" customFormat="1" x14ac:dyDescent="0.2"/>
    <row r="1204" s="273" customFormat="1" x14ac:dyDescent="0.2"/>
    <row r="1205" s="273" customFormat="1" x14ac:dyDescent="0.2"/>
    <row r="1206" s="273" customFormat="1" x14ac:dyDescent="0.2"/>
    <row r="1207" s="273" customFormat="1" x14ac:dyDescent="0.2"/>
    <row r="1208" s="273" customFormat="1" x14ac:dyDescent="0.2"/>
    <row r="1209" s="273" customFormat="1" x14ac:dyDescent="0.2"/>
    <row r="1210" s="273" customFormat="1" x14ac:dyDescent="0.2"/>
    <row r="1211" s="273" customFormat="1" x14ac:dyDescent="0.2"/>
    <row r="1212" s="273" customFormat="1" x14ac:dyDescent="0.2"/>
    <row r="1213" s="273" customFormat="1" x14ac:dyDescent="0.2"/>
    <row r="1214" s="273" customFormat="1" x14ac:dyDescent="0.2"/>
    <row r="1215" s="273" customFormat="1" x14ac:dyDescent="0.2"/>
    <row r="1216" s="273" customFormat="1" x14ac:dyDescent="0.2"/>
    <row r="1217" s="273" customFormat="1" x14ac:dyDescent="0.2"/>
    <row r="1218" s="273" customFormat="1" x14ac:dyDescent="0.2"/>
    <row r="1219" s="273" customFormat="1" x14ac:dyDescent="0.2"/>
    <row r="1220" s="273" customFormat="1" x14ac:dyDescent="0.2"/>
    <row r="1221" s="273" customFormat="1" x14ac:dyDescent="0.2"/>
    <row r="1222" s="273" customFormat="1" x14ac:dyDescent="0.2"/>
    <row r="1223" s="273" customFormat="1" x14ac:dyDescent="0.2"/>
    <row r="1224" s="273" customFormat="1" x14ac:dyDescent="0.2"/>
    <row r="1225" s="273" customFormat="1" x14ac:dyDescent="0.2"/>
    <row r="1226" s="273" customFormat="1" x14ac:dyDescent="0.2"/>
    <row r="1227" s="273" customFormat="1" x14ac:dyDescent="0.2"/>
    <row r="1228" s="273" customFormat="1" x14ac:dyDescent="0.2"/>
    <row r="1229" s="273" customFormat="1" x14ac:dyDescent="0.2"/>
    <row r="1230" s="273" customFormat="1" x14ac:dyDescent="0.2"/>
    <row r="1231" s="273" customFormat="1" x14ac:dyDescent="0.2"/>
    <row r="1232" s="273" customFormat="1" x14ac:dyDescent="0.2"/>
    <row r="1233" s="273" customFormat="1" x14ac:dyDescent="0.2"/>
    <row r="1234" s="273" customFormat="1" x14ac:dyDescent="0.2"/>
    <row r="1235" s="273" customFormat="1" x14ac:dyDescent="0.2"/>
    <row r="1236" s="273" customFormat="1" x14ac:dyDescent="0.2"/>
    <row r="1237" s="273" customFormat="1" x14ac:dyDescent="0.2"/>
    <row r="1238" s="273" customFormat="1" x14ac:dyDescent="0.2"/>
    <row r="1239" s="273" customFormat="1" x14ac:dyDescent="0.2"/>
    <row r="1240" s="273" customFormat="1" x14ac:dyDescent="0.2"/>
    <row r="1241" s="273" customFormat="1" x14ac:dyDescent="0.2"/>
    <row r="1242" s="273" customFormat="1" x14ac:dyDescent="0.2"/>
    <row r="1243" s="273" customFormat="1" x14ac:dyDescent="0.2"/>
    <row r="1244" s="273" customFormat="1" x14ac:dyDescent="0.2"/>
    <row r="1245" s="273" customFormat="1" x14ac:dyDescent="0.2"/>
    <row r="1246" s="273" customFormat="1" x14ac:dyDescent="0.2"/>
    <row r="1247" s="273" customFormat="1" x14ac:dyDescent="0.2"/>
    <row r="1248" s="273" customFormat="1" x14ac:dyDescent="0.2"/>
    <row r="1249" s="273" customFormat="1" x14ac:dyDescent="0.2"/>
    <row r="1250" s="273" customFormat="1" x14ac:dyDescent="0.2"/>
    <row r="1251" s="273" customFormat="1" x14ac:dyDescent="0.2"/>
    <row r="1252" s="273" customFormat="1" x14ac:dyDescent="0.2"/>
    <row r="1253" s="273" customFormat="1" x14ac:dyDescent="0.2"/>
    <row r="1254" s="273" customFormat="1" x14ac:dyDescent="0.2"/>
    <row r="1255" s="273" customFormat="1" x14ac:dyDescent="0.2"/>
    <row r="1256" s="273" customFormat="1" x14ac:dyDescent="0.2"/>
    <row r="1257" s="273" customFormat="1" x14ac:dyDescent="0.2"/>
    <row r="1258" s="273" customFormat="1" x14ac:dyDescent="0.2"/>
    <row r="1259" s="273" customFormat="1" x14ac:dyDescent="0.2"/>
    <row r="1260" s="273" customFormat="1" x14ac:dyDescent="0.2"/>
    <row r="1261" s="273" customFormat="1" x14ac:dyDescent="0.2"/>
    <row r="1262" s="273" customFormat="1" x14ac:dyDescent="0.2"/>
    <row r="1263" s="273" customFormat="1" x14ac:dyDescent="0.2"/>
    <row r="1264" s="273" customFormat="1" x14ac:dyDescent="0.2"/>
    <row r="1265" s="273" customFormat="1" x14ac:dyDescent="0.2"/>
    <row r="1266" s="273" customFormat="1" x14ac:dyDescent="0.2"/>
    <row r="1267" s="273" customFormat="1" x14ac:dyDescent="0.2"/>
    <row r="1268" s="273" customFormat="1" x14ac:dyDescent="0.2"/>
    <row r="1269" s="273" customFormat="1" x14ac:dyDescent="0.2"/>
    <row r="1270" s="273" customFormat="1" x14ac:dyDescent="0.2"/>
    <row r="1271" s="273" customFormat="1" x14ac:dyDescent="0.2"/>
    <row r="1272" s="273" customFormat="1" x14ac:dyDescent="0.2"/>
    <row r="1273" s="273" customFormat="1" x14ac:dyDescent="0.2"/>
    <row r="1274" s="273" customFormat="1" x14ac:dyDescent="0.2"/>
    <row r="1275" s="273" customFormat="1" x14ac:dyDescent="0.2"/>
    <row r="1276" s="273" customFormat="1" x14ac:dyDescent="0.2"/>
    <row r="1277" s="273" customFormat="1" x14ac:dyDescent="0.2"/>
    <row r="1278" s="273" customFormat="1" x14ac:dyDescent="0.2"/>
    <row r="1279" s="273" customFormat="1" x14ac:dyDescent="0.2"/>
    <row r="1280" s="273" customFormat="1" x14ac:dyDescent="0.2"/>
    <row r="1281" s="273" customFormat="1" x14ac:dyDescent="0.2"/>
    <row r="1282" s="273" customFormat="1" x14ac:dyDescent="0.2"/>
    <row r="1283" s="273" customFormat="1" x14ac:dyDescent="0.2"/>
    <row r="1284" s="273" customFormat="1" x14ac:dyDescent="0.2"/>
    <row r="1285" s="273" customFormat="1" x14ac:dyDescent="0.2"/>
    <row r="1286" s="273" customFormat="1" x14ac:dyDescent="0.2"/>
    <row r="1287" s="273" customFormat="1" x14ac:dyDescent="0.2"/>
    <row r="1288" s="273" customFormat="1" x14ac:dyDescent="0.2"/>
    <row r="1289" s="273" customFormat="1" x14ac:dyDescent="0.2"/>
    <row r="1290" s="273" customFormat="1" x14ac:dyDescent="0.2"/>
    <row r="1291" s="273" customFormat="1" x14ac:dyDescent="0.2"/>
    <row r="1292" s="273" customFormat="1" x14ac:dyDescent="0.2"/>
    <row r="1293" s="273" customFormat="1" x14ac:dyDescent="0.2"/>
    <row r="1294" s="273" customFormat="1" x14ac:dyDescent="0.2"/>
    <row r="1295" s="273" customFormat="1" x14ac:dyDescent="0.2"/>
    <row r="1296" s="273" customFormat="1" x14ac:dyDescent="0.2"/>
    <row r="1297" s="273" customFormat="1" x14ac:dyDescent="0.2"/>
    <row r="1298" s="273" customFormat="1" x14ac:dyDescent="0.2"/>
    <row r="1299" s="273" customFormat="1" x14ac:dyDescent="0.2"/>
    <row r="1300" s="273" customFormat="1" x14ac:dyDescent="0.2"/>
    <row r="1301" s="273" customFormat="1" x14ac:dyDescent="0.2"/>
    <row r="1302" s="273" customFormat="1" x14ac:dyDescent="0.2"/>
    <row r="1303" s="273" customFormat="1" x14ac:dyDescent="0.2"/>
    <row r="1304" s="273" customFormat="1" x14ac:dyDescent="0.2"/>
    <row r="1305" s="273" customFormat="1" x14ac:dyDescent="0.2"/>
    <row r="1306" s="273" customFormat="1" x14ac:dyDescent="0.2"/>
    <row r="1307" s="273" customFormat="1" x14ac:dyDescent="0.2"/>
    <row r="1308" s="273" customFormat="1" x14ac:dyDescent="0.2"/>
    <row r="1309" s="273" customFormat="1" x14ac:dyDescent="0.2"/>
    <row r="1310" s="273" customFormat="1" x14ac:dyDescent="0.2"/>
    <row r="1311" s="273" customFormat="1" x14ac:dyDescent="0.2"/>
    <row r="1312" s="273" customFormat="1" x14ac:dyDescent="0.2"/>
    <row r="1313" s="273" customFormat="1" x14ac:dyDescent="0.2"/>
    <row r="1314" s="273" customFormat="1" x14ac:dyDescent="0.2"/>
    <row r="1315" s="273" customFormat="1" x14ac:dyDescent="0.2"/>
    <row r="1316" s="273" customFormat="1" x14ac:dyDescent="0.2"/>
    <row r="1317" s="273" customFormat="1" x14ac:dyDescent="0.2"/>
    <row r="1318" s="273" customFormat="1" x14ac:dyDescent="0.2"/>
    <row r="1319" s="273" customFormat="1" x14ac:dyDescent="0.2"/>
    <row r="1320" s="273" customFormat="1" x14ac:dyDescent="0.2"/>
    <row r="1321" s="273" customFormat="1" x14ac:dyDescent="0.2"/>
    <row r="1322" s="273" customFormat="1" x14ac:dyDescent="0.2"/>
    <row r="1323" s="273" customFormat="1" x14ac:dyDescent="0.2"/>
    <row r="1324" s="273" customFormat="1" x14ac:dyDescent="0.2"/>
    <row r="1325" s="273" customFormat="1" x14ac:dyDescent="0.2"/>
    <row r="1326" s="273" customFormat="1" x14ac:dyDescent="0.2"/>
    <row r="1327" s="273" customFormat="1" x14ac:dyDescent="0.2"/>
    <row r="1328" s="273" customFormat="1" x14ac:dyDescent="0.2"/>
    <row r="1329" s="273" customFormat="1" x14ac:dyDescent="0.2"/>
    <row r="1330" s="273" customFormat="1" x14ac:dyDescent="0.2"/>
    <row r="1331" s="273" customFormat="1" x14ac:dyDescent="0.2"/>
    <row r="1332" s="273" customFormat="1" x14ac:dyDescent="0.2"/>
    <row r="1333" s="273" customFormat="1" x14ac:dyDescent="0.2"/>
    <row r="1334" s="273" customFormat="1" x14ac:dyDescent="0.2"/>
    <row r="1335" s="273" customFormat="1" x14ac:dyDescent="0.2"/>
    <row r="1336" s="273" customFormat="1" x14ac:dyDescent="0.2"/>
    <row r="1337" s="273" customFormat="1" x14ac:dyDescent="0.2"/>
    <row r="1338" s="273" customFormat="1" x14ac:dyDescent="0.2"/>
    <row r="1339" s="273" customFormat="1" x14ac:dyDescent="0.2"/>
    <row r="1340" s="273" customFormat="1" x14ac:dyDescent="0.2"/>
    <row r="1341" s="273" customFormat="1" x14ac:dyDescent="0.2"/>
    <row r="1342" s="273" customFormat="1" x14ac:dyDescent="0.2"/>
    <row r="1343" s="273" customFormat="1" x14ac:dyDescent="0.2"/>
    <row r="1344" s="273" customFormat="1" x14ac:dyDescent="0.2"/>
    <row r="1345" s="273" customFormat="1" x14ac:dyDescent="0.2"/>
    <row r="1346" s="273" customFormat="1" x14ac:dyDescent="0.2"/>
    <row r="1347" s="273" customFormat="1" x14ac:dyDescent="0.2"/>
    <row r="1348" s="273" customFormat="1" x14ac:dyDescent="0.2"/>
    <row r="1349" s="273" customFormat="1" x14ac:dyDescent="0.2"/>
    <row r="1350" s="273" customFormat="1" x14ac:dyDescent="0.2"/>
    <row r="1351" s="273" customFormat="1" x14ac:dyDescent="0.2"/>
    <row r="1352" s="273" customFormat="1" x14ac:dyDescent="0.2"/>
    <row r="1353" s="273" customFormat="1" x14ac:dyDescent="0.2"/>
    <row r="1354" s="273" customFormat="1" x14ac:dyDescent="0.2"/>
    <row r="1355" s="273" customFormat="1" x14ac:dyDescent="0.2"/>
    <row r="1356" s="273" customFormat="1" x14ac:dyDescent="0.2"/>
    <row r="1357" s="273" customFormat="1" x14ac:dyDescent="0.2"/>
    <row r="1358" s="273" customFormat="1" x14ac:dyDescent="0.2"/>
    <row r="1359" s="273" customFormat="1" x14ac:dyDescent="0.2"/>
    <row r="1360" s="273" customFormat="1" x14ac:dyDescent="0.2"/>
    <row r="1361" s="273" customFormat="1" x14ac:dyDescent="0.2"/>
    <row r="1362" s="273" customFormat="1" x14ac:dyDescent="0.2"/>
    <row r="1363" s="273" customFormat="1" x14ac:dyDescent="0.2"/>
    <row r="1364" s="273" customFormat="1" x14ac:dyDescent="0.2"/>
    <row r="1365" s="273" customFormat="1" x14ac:dyDescent="0.2"/>
    <row r="1366" s="273" customFormat="1" x14ac:dyDescent="0.2"/>
    <row r="1367" s="273" customFormat="1" x14ac:dyDescent="0.2"/>
    <row r="1368" s="273" customFormat="1" x14ac:dyDescent="0.2"/>
    <row r="1369" s="273" customFormat="1" x14ac:dyDescent="0.2"/>
    <row r="1370" s="273" customFormat="1" x14ac:dyDescent="0.2"/>
    <row r="1371" s="273" customFormat="1" x14ac:dyDescent="0.2"/>
    <row r="1372" s="273" customFormat="1" x14ac:dyDescent="0.2"/>
    <row r="1373" s="273" customFormat="1" x14ac:dyDescent="0.2"/>
    <row r="1374" s="273" customFormat="1" x14ac:dyDescent="0.2"/>
    <row r="1375" s="273" customFormat="1" x14ac:dyDescent="0.2"/>
    <row r="1376" s="273" customFormat="1" x14ac:dyDescent="0.2"/>
    <row r="1377" s="273" customFormat="1" x14ac:dyDescent="0.2"/>
    <row r="1378" s="273" customFormat="1" x14ac:dyDescent="0.2"/>
    <row r="1379" s="273" customFormat="1" x14ac:dyDescent="0.2"/>
    <row r="1380" s="273" customFormat="1" x14ac:dyDescent="0.2"/>
    <row r="1381" s="273" customFormat="1" x14ac:dyDescent="0.2"/>
    <row r="1382" s="273" customFormat="1" x14ac:dyDescent="0.2"/>
    <row r="1383" s="273" customFormat="1" x14ac:dyDescent="0.2"/>
    <row r="1384" s="273" customFormat="1" x14ac:dyDescent="0.2"/>
    <row r="1385" s="273" customFormat="1" x14ac:dyDescent="0.2"/>
    <row r="1386" s="273" customFormat="1" x14ac:dyDescent="0.2"/>
    <row r="1387" s="273" customFormat="1" x14ac:dyDescent="0.2"/>
    <row r="1388" s="273" customFormat="1" x14ac:dyDescent="0.2"/>
    <row r="1389" s="273" customFormat="1" x14ac:dyDescent="0.2"/>
    <row r="1390" s="273" customFormat="1" x14ac:dyDescent="0.2"/>
    <row r="1391" s="273" customFormat="1" x14ac:dyDescent="0.2"/>
    <row r="1392" s="273" customFormat="1" x14ac:dyDescent="0.2"/>
    <row r="1393" s="273" customFormat="1" x14ac:dyDescent="0.2"/>
    <row r="1394" s="273" customFormat="1" x14ac:dyDescent="0.2"/>
    <row r="1395" s="273" customFormat="1" x14ac:dyDescent="0.2"/>
    <row r="1396" s="273" customFormat="1" x14ac:dyDescent="0.2"/>
    <row r="1397" s="273" customFormat="1" x14ac:dyDescent="0.2"/>
    <row r="1398" s="273" customFormat="1" x14ac:dyDescent="0.2"/>
    <row r="1399" s="273" customFormat="1" x14ac:dyDescent="0.2"/>
    <row r="1400" s="273" customFormat="1" x14ac:dyDescent="0.2"/>
    <row r="1401" s="273" customFormat="1" x14ac:dyDescent="0.2"/>
    <row r="1402" s="273" customFormat="1" x14ac:dyDescent="0.2"/>
    <row r="1403" s="273" customFormat="1" x14ac:dyDescent="0.2"/>
    <row r="1404" s="273" customFormat="1" x14ac:dyDescent="0.2"/>
    <row r="1405" s="273" customFormat="1" x14ac:dyDescent="0.2"/>
    <row r="1406" s="273" customFormat="1" x14ac:dyDescent="0.2"/>
    <row r="1407" s="273" customFormat="1" x14ac:dyDescent="0.2"/>
    <row r="1408" s="273" customFormat="1" x14ac:dyDescent="0.2"/>
    <row r="1409" s="273" customFormat="1" x14ac:dyDescent="0.2"/>
    <row r="1410" s="273" customFormat="1" x14ac:dyDescent="0.2"/>
    <row r="1411" s="273" customFormat="1" x14ac:dyDescent="0.2"/>
    <row r="1412" s="273" customFormat="1" x14ac:dyDescent="0.2"/>
    <row r="1413" s="273" customFormat="1" x14ac:dyDescent="0.2"/>
    <row r="1414" s="273" customFormat="1" x14ac:dyDescent="0.2"/>
    <row r="1415" s="273" customFormat="1" x14ac:dyDescent="0.2"/>
    <row r="1416" s="273" customFormat="1" x14ac:dyDescent="0.2"/>
    <row r="1417" s="273" customFormat="1" x14ac:dyDescent="0.2"/>
    <row r="1418" s="273" customFormat="1" x14ac:dyDescent="0.2"/>
    <row r="1419" s="273" customFormat="1" x14ac:dyDescent="0.2"/>
    <row r="1420" s="273" customFormat="1" x14ac:dyDescent="0.2"/>
    <row r="1421" s="273" customFormat="1" x14ac:dyDescent="0.2"/>
    <row r="1422" s="273" customFormat="1" x14ac:dyDescent="0.2"/>
    <row r="1423" s="273" customFormat="1" x14ac:dyDescent="0.2"/>
    <row r="1424" s="273" customFormat="1" x14ac:dyDescent="0.2"/>
    <row r="1425" s="273" customFormat="1" x14ac:dyDescent="0.2"/>
    <row r="1426" s="273" customFormat="1" x14ac:dyDescent="0.2"/>
    <row r="1427" s="273" customFormat="1" x14ac:dyDescent="0.2"/>
    <row r="1428" s="273" customFormat="1" x14ac:dyDescent="0.2"/>
    <row r="1429" s="273" customFormat="1" x14ac:dyDescent="0.2"/>
    <row r="1430" s="273" customFormat="1" x14ac:dyDescent="0.2"/>
    <row r="1431" s="273" customFormat="1" x14ac:dyDescent="0.2"/>
    <row r="1432" s="273" customFormat="1" x14ac:dyDescent="0.2"/>
    <row r="1433" s="273" customFormat="1" x14ac:dyDescent="0.2"/>
    <row r="1434" s="273" customFormat="1" x14ac:dyDescent="0.2"/>
    <row r="1435" s="273" customFormat="1" x14ac:dyDescent="0.2"/>
    <row r="1436" s="273" customFormat="1" x14ac:dyDescent="0.2"/>
    <row r="1437" s="273" customFormat="1" x14ac:dyDescent="0.2"/>
    <row r="1438" s="273" customFormat="1" x14ac:dyDescent="0.2"/>
    <row r="1439" s="273" customFormat="1" x14ac:dyDescent="0.2"/>
    <row r="1440" s="273" customFormat="1" x14ac:dyDescent="0.2"/>
    <row r="1441" s="273" customFormat="1" x14ac:dyDescent="0.2"/>
    <row r="1442" s="273" customFormat="1" x14ac:dyDescent="0.2"/>
    <row r="1443" s="273" customFormat="1" x14ac:dyDescent="0.2"/>
    <row r="1444" s="273" customFormat="1" x14ac:dyDescent="0.2"/>
    <row r="1445" s="273" customFormat="1" x14ac:dyDescent="0.2"/>
    <row r="1446" s="273" customFormat="1" x14ac:dyDescent="0.2"/>
    <row r="1447" s="273" customFormat="1" x14ac:dyDescent="0.2"/>
    <row r="1448" s="273" customFormat="1" x14ac:dyDescent="0.2"/>
    <row r="1449" s="273" customFormat="1" x14ac:dyDescent="0.2"/>
    <row r="1450" s="273" customFormat="1" x14ac:dyDescent="0.2"/>
    <row r="1451" s="273" customFormat="1" x14ac:dyDescent="0.2"/>
    <row r="1452" s="273" customFormat="1" x14ac:dyDescent="0.2"/>
    <row r="1453" s="273" customFormat="1" x14ac:dyDescent="0.2"/>
    <row r="1454" s="273" customFormat="1" x14ac:dyDescent="0.2"/>
    <row r="1455" s="273" customFormat="1" x14ac:dyDescent="0.2"/>
    <row r="1456" s="273" customFormat="1" x14ac:dyDescent="0.2"/>
    <row r="1457" s="273" customFormat="1" x14ac:dyDescent="0.2"/>
    <row r="1458" s="273" customFormat="1" x14ac:dyDescent="0.2"/>
    <row r="1459" s="273" customFormat="1" x14ac:dyDescent="0.2"/>
    <row r="1460" s="273" customFormat="1" x14ac:dyDescent="0.2"/>
    <row r="1461" s="273" customFormat="1" x14ac:dyDescent="0.2"/>
    <row r="1462" s="273" customFormat="1" x14ac:dyDescent="0.2"/>
    <row r="1463" s="273" customFormat="1" x14ac:dyDescent="0.2"/>
    <row r="1464" s="273" customFormat="1" x14ac:dyDescent="0.2"/>
    <row r="1465" s="273" customFormat="1" x14ac:dyDescent="0.2"/>
    <row r="1466" s="273" customFormat="1" x14ac:dyDescent="0.2"/>
    <row r="1467" s="273" customFormat="1" x14ac:dyDescent="0.2"/>
    <row r="1468" s="273" customFormat="1" x14ac:dyDescent="0.2"/>
    <row r="1469" s="273" customFormat="1" x14ac:dyDescent="0.2"/>
    <row r="1470" s="273" customFormat="1" x14ac:dyDescent="0.2"/>
    <row r="1471" s="273" customFormat="1" x14ac:dyDescent="0.2"/>
    <row r="1472" s="273" customFormat="1" x14ac:dyDescent="0.2"/>
    <row r="1473" s="273" customFormat="1" x14ac:dyDescent="0.2"/>
    <row r="1474" s="273" customFormat="1" x14ac:dyDescent="0.2"/>
    <row r="1475" s="273" customFormat="1" x14ac:dyDescent="0.2"/>
    <row r="1476" s="273" customFormat="1" x14ac:dyDescent="0.2"/>
    <row r="1477" s="273" customFormat="1" x14ac:dyDescent="0.2"/>
    <row r="1478" s="273" customFormat="1" x14ac:dyDescent="0.2"/>
    <row r="1479" s="273" customFormat="1" x14ac:dyDescent="0.2"/>
    <row r="1480" s="273" customFormat="1" x14ac:dyDescent="0.2"/>
    <row r="1481" s="273" customFormat="1" x14ac:dyDescent="0.2"/>
    <row r="1482" s="273" customFormat="1" x14ac:dyDescent="0.2"/>
    <row r="1483" s="273" customFormat="1" x14ac:dyDescent="0.2"/>
    <row r="1484" s="273" customFormat="1" x14ac:dyDescent="0.2"/>
    <row r="1485" s="273" customFormat="1" x14ac:dyDescent="0.2"/>
    <row r="1486" s="273" customFormat="1" x14ac:dyDescent="0.2"/>
    <row r="1487" s="273" customFormat="1" x14ac:dyDescent="0.2"/>
    <row r="1488" s="273" customFormat="1" x14ac:dyDescent="0.2"/>
    <row r="1489" s="273" customFormat="1" x14ac:dyDescent="0.2"/>
    <row r="1490" s="273" customFormat="1" x14ac:dyDescent="0.2"/>
    <row r="1491" s="273" customFormat="1" x14ac:dyDescent="0.2"/>
    <row r="1492" s="273" customFormat="1" x14ac:dyDescent="0.2"/>
    <row r="1493" s="273" customFormat="1" x14ac:dyDescent="0.2"/>
    <row r="1494" s="273" customFormat="1" x14ac:dyDescent="0.2"/>
    <row r="1495" s="273" customFormat="1" x14ac:dyDescent="0.2"/>
    <row r="1496" s="273" customFormat="1" x14ac:dyDescent="0.2"/>
    <row r="1497" s="273" customFormat="1" x14ac:dyDescent="0.2"/>
    <row r="1498" s="273" customFormat="1" x14ac:dyDescent="0.2"/>
    <row r="1499" s="273" customFormat="1" x14ac:dyDescent="0.2"/>
    <row r="1500" s="273" customFormat="1" x14ac:dyDescent="0.2"/>
    <row r="1501" s="273" customFormat="1" x14ac:dyDescent="0.2"/>
    <row r="1502" s="273" customFormat="1" x14ac:dyDescent="0.2"/>
    <row r="1503" s="273" customFormat="1" x14ac:dyDescent="0.2"/>
    <row r="1504" s="273" customFormat="1" x14ac:dyDescent="0.2"/>
    <row r="1505" s="273" customFormat="1" x14ac:dyDescent="0.2"/>
    <row r="1506" s="273" customFormat="1" x14ac:dyDescent="0.2"/>
    <row r="1507" s="273" customFormat="1" x14ac:dyDescent="0.2"/>
    <row r="1508" s="273" customFormat="1" x14ac:dyDescent="0.2"/>
    <row r="1509" s="273" customFormat="1" x14ac:dyDescent="0.2"/>
    <row r="1510" s="273" customFormat="1" x14ac:dyDescent="0.2"/>
    <row r="1511" s="273" customFormat="1" x14ac:dyDescent="0.2"/>
    <row r="1512" s="273" customFormat="1" x14ac:dyDescent="0.2"/>
    <row r="1513" s="273" customFormat="1" x14ac:dyDescent="0.2"/>
    <row r="1514" s="273" customFormat="1" x14ac:dyDescent="0.2"/>
    <row r="1515" s="273" customFormat="1" x14ac:dyDescent="0.2"/>
    <row r="1516" s="273" customFormat="1" x14ac:dyDescent="0.2"/>
    <row r="1517" s="273" customFormat="1" x14ac:dyDescent="0.2"/>
    <row r="1518" s="273" customFormat="1" x14ac:dyDescent="0.2"/>
    <row r="1519" s="273" customFormat="1" x14ac:dyDescent="0.2"/>
    <row r="1520" s="273" customFormat="1" x14ac:dyDescent="0.2"/>
    <row r="1521" s="273" customFormat="1" x14ac:dyDescent="0.2"/>
    <row r="1522" s="273" customFormat="1" x14ac:dyDescent="0.2"/>
    <row r="1523" s="273" customFormat="1" x14ac:dyDescent="0.2"/>
    <row r="1524" s="273" customFormat="1" x14ac:dyDescent="0.2"/>
    <row r="1525" s="273" customFormat="1" x14ac:dyDescent="0.2"/>
    <row r="1526" s="273" customFormat="1" x14ac:dyDescent="0.2"/>
    <row r="1527" s="273" customFormat="1" x14ac:dyDescent="0.2"/>
    <row r="1528" s="273" customFormat="1" x14ac:dyDescent="0.2"/>
    <row r="1529" s="273" customFormat="1" x14ac:dyDescent="0.2"/>
    <row r="1530" s="273" customFormat="1" x14ac:dyDescent="0.2"/>
    <row r="1531" s="273" customFormat="1" x14ac:dyDescent="0.2"/>
    <row r="1532" s="273" customFormat="1" x14ac:dyDescent="0.2"/>
    <row r="1533" s="273" customFormat="1" x14ac:dyDescent="0.2"/>
    <row r="1534" s="273" customFormat="1" x14ac:dyDescent="0.2"/>
    <row r="1535" s="273" customFormat="1" x14ac:dyDescent="0.2"/>
    <row r="1536" s="273" customFormat="1" x14ac:dyDescent="0.2"/>
    <row r="1537" s="273" customFormat="1" x14ac:dyDescent="0.2"/>
    <row r="1538" s="273" customFormat="1" x14ac:dyDescent="0.2"/>
    <row r="1539" s="273" customFormat="1" x14ac:dyDescent="0.2"/>
    <row r="1540" s="273" customFormat="1" x14ac:dyDescent="0.2"/>
    <row r="1541" s="273" customFormat="1" x14ac:dyDescent="0.2"/>
    <row r="1542" s="273" customFormat="1" x14ac:dyDescent="0.2"/>
    <row r="1543" s="273" customFormat="1" x14ac:dyDescent="0.2"/>
    <row r="1544" s="273" customFormat="1" x14ac:dyDescent="0.2"/>
    <row r="1545" s="273" customFormat="1" x14ac:dyDescent="0.2"/>
    <row r="1546" s="273" customFormat="1" x14ac:dyDescent="0.2"/>
    <row r="1547" s="273" customFormat="1" x14ac:dyDescent="0.2"/>
    <row r="1548" s="273" customFormat="1" x14ac:dyDescent="0.2"/>
    <row r="1549" s="273" customFormat="1" x14ac:dyDescent="0.2"/>
    <row r="1550" s="273" customFormat="1" x14ac:dyDescent="0.2"/>
    <row r="1551" s="273" customFormat="1" x14ac:dyDescent="0.2"/>
    <row r="1552" s="273" customFormat="1" x14ac:dyDescent="0.2"/>
    <row r="1553" s="273" customFormat="1" x14ac:dyDescent="0.2"/>
    <row r="1554" s="273" customFormat="1" x14ac:dyDescent="0.2"/>
    <row r="1555" s="273" customFormat="1" x14ac:dyDescent="0.2"/>
    <row r="1556" s="273" customFormat="1" x14ac:dyDescent="0.2"/>
    <row r="1557" s="273" customFormat="1" x14ac:dyDescent="0.2"/>
    <row r="1558" s="273" customFormat="1" x14ac:dyDescent="0.2"/>
    <row r="1559" s="273" customFormat="1" x14ac:dyDescent="0.2"/>
    <row r="1560" s="273" customFormat="1" x14ac:dyDescent="0.2"/>
    <row r="1561" s="273" customFormat="1" x14ac:dyDescent="0.2"/>
    <row r="1562" s="273" customFormat="1" x14ac:dyDescent="0.2"/>
    <row r="1563" s="273" customFormat="1" x14ac:dyDescent="0.2"/>
    <row r="1564" s="273" customFormat="1" x14ac:dyDescent="0.2"/>
    <row r="1565" s="273" customFormat="1" x14ac:dyDescent="0.2"/>
    <row r="1566" s="273" customFormat="1" x14ac:dyDescent="0.2"/>
    <row r="1567" s="273" customFormat="1" x14ac:dyDescent="0.2"/>
    <row r="1568" s="273" customFormat="1" x14ac:dyDescent="0.2"/>
    <row r="1569" s="273" customFormat="1" x14ac:dyDescent="0.2"/>
    <row r="1570" s="273" customFormat="1" x14ac:dyDescent="0.2"/>
    <row r="1571" s="273" customFormat="1" x14ac:dyDescent="0.2"/>
    <row r="1572" s="273" customFormat="1" x14ac:dyDescent="0.2"/>
    <row r="1573" s="273" customFormat="1" x14ac:dyDescent="0.2"/>
    <row r="1574" s="273" customFormat="1" x14ac:dyDescent="0.2"/>
    <row r="1575" s="273" customFormat="1" x14ac:dyDescent="0.2"/>
    <row r="1576" s="273" customFormat="1" x14ac:dyDescent="0.2"/>
    <row r="1577" s="273" customFormat="1" x14ac:dyDescent="0.2"/>
    <row r="1578" s="273" customFormat="1" x14ac:dyDescent="0.2"/>
    <row r="1579" s="273" customFormat="1" x14ac:dyDescent="0.2"/>
    <row r="1580" s="273" customFormat="1" x14ac:dyDescent="0.2"/>
    <row r="1581" s="273" customFormat="1" x14ac:dyDescent="0.2"/>
    <row r="1582" s="273" customFormat="1" x14ac:dyDescent="0.2"/>
    <row r="1583" s="273" customFormat="1" x14ac:dyDescent="0.2"/>
    <row r="1584" s="273" customFormat="1" x14ac:dyDescent="0.2"/>
    <row r="1585" s="273" customFormat="1" x14ac:dyDescent="0.2"/>
    <row r="1586" s="273" customFormat="1" x14ac:dyDescent="0.2"/>
    <row r="1587" s="273" customFormat="1" x14ac:dyDescent="0.2"/>
    <row r="1588" s="273" customFormat="1" x14ac:dyDescent="0.2"/>
    <row r="1589" s="273" customFormat="1" x14ac:dyDescent="0.2"/>
    <row r="1590" s="273" customFormat="1" x14ac:dyDescent="0.2"/>
    <row r="1591" s="273" customFormat="1" x14ac:dyDescent="0.2"/>
    <row r="1592" s="273" customFormat="1" x14ac:dyDescent="0.2"/>
    <row r="1593" s="273" customFormat="1" x14ac:dyDescent="0.2"/>
    <row r="1594" s="273" customFormat="1" x14ac:dyDescent="0.2"/>
    <row r="1595" s="273" customFormat="1" x14ac:dyDescent="0.2"/>
    <row r="1596" s="273" customFormat="1" x14ac:dyDescent="0.2"/>
    <row r="1597" s="273" customFormat="1" x14ac:dyDescent="0.2"/>
    <row r="1598" s="273" customFormat="1" x14ac:dyDescent="0.2"/>
    <row r="1599" s="273" customFormat="1" x14ac:dyDescent="0.2"/>
    <row r="1600" s="273" customFormat="1" x14ac:dyDescent="0.2"/>
    <row r="1601" s="273" customFormat="1" x14ac:dyDescent="0.2"/>
    <row r="1602" s="273" customFormat="1" x14ac:dyDescent="0.2"/>
    <row r="1603" s="273" customFormat="1" x14ac:dyDescent="0.2"/>
    <row r="1604" s="273" customFormat="1" x14ac:dyDescent="0.2"/>
    <row r="1605" s="273" customFormat="1" x14ac:dyDescent="0.2"/>
    <row r="1606" s="273" customFormat="1" x14ac:dyDescent="0.2"/>
    <row r="1607" s="273" customFormat="1" x14ac:dyDescent="0.2"/>
    <row r="1608" s="273" customFormat="1" x14ac:dyDescent="0.2"/>
    <row r="1609" s="273" customFormat="1" x14ac:dyDescent="0.2"/>
    <row r="1610" s="273" customFormat="1" x14ac:dyDescent="0.2"/>
    <row r="1611" s="273" customFormat="1" x14ac:dyDescent="0.2"/>
    <row r="1612" s="273" customFormat="1" x14ac:dyDescent="0.2"/>
    <row r="1613" s="273" customFormat="1" x14ac:dyDescent="0.2"/>
    <row r="1614" s="273" customFormat="1" x14ac:dyDescent="0.2"/>
    <row r="1615" s="273" customFormat="1" x14ac:dyDescent="0.2"/>
    <row r="1616" s="273" customFormat="1" x14ac:dyDescent="0.2"/>
    <row r="1617" s="273" customFormat="1" x14ac:dyDescent="0.2"/>
    <row r="1618" s="273" customFormat="1" x14ac:dyDescent="0.2"/>
    <row r="1619" s="273" customFormat="1" x14ac:dyDescent="0.2"/>
    <row r="1620" s="273" customFormat="1" x14ac:dyDescent="0.2"/>
    <row r="1621" s="273" customFormat="1" x14ac:dyDescent="0.2"/>
    <row r="1622" s="273" customFormat="1" x14ac:dyDescent="0.2"/>
    <row r="1623" s="273" customFormat="1" x14ac:dyDescent="0.2"/>
    <row r="1624" s="273" customFormat="1" x14ac:dyDescent="0.2"/>
    <row r="1625" s="273" customFormat="1" x14ac:dyDescent="0.2"/>
    <row r="1626" s="273" customFormat="1" x14ac:dyDescent="0.2"/>
    <row r="1627" s="273" customFormat="1" x14ac:dyDescent="0.2"/>
    <row r="1628" s="273" customFormat="1" x14ac:dyDescent="0.2"/>
    <row r="1629" s="273" customFormat="1" x14ac:dyDescent="0.2"/>
    <row r="1630" s="273" customFormat="1" x14ac:dyDescent="0.2"/>
    <row r="1631" s="273" customFormat="1" x14ac:dyDescent="0.2"/>
    <row r="1632" s="273" customFormat="1" x14ac:dyDescent="0.2"/>
    <row r="1633" s="273" customFormat="1" x14ac:dyDescent="0.2"/>
    <row r="1634" s="273" customFormat="1" x14ac:dyDescent="0.2"/>
    <row r="1635" s="273" customFormat="1" x14ac:dyDescent="0.2"/>
    <row r="1636" s="273" customFormat="1" x14ac:dyDescent="0.2"/>
    <row r="1637" s="273" customFormat="1" x14ac:dyDescent="0.2"/>
    <row r="1638" s="273" customFormat="1" x14ac:dyDescent="0.2"/>
    <row r="1639" s="273" customFormat="1" x14ac:dyDescent="0.2"/>
    <row r="1640" s="273" customFormat="1" x14ac:dyDescent="0.2"/>
    <row r="1641" s="273" customFormat="1" x14ac:dyDescent="0.2"/>
    <row r="1642" s="273" customFormat="1" x14ac:dyDescent="0.2"/>
    <row r="1643" s="273" customFormat="1" x14ac:dyDescent="0.2"/>
    <row r="1644" s="273" customFormat="1" x14ac:dyDescent="0.2"/>
    <row r="1645" s="273" customFormat="1" x14ac:dyDescent="0.2"/>
    <row r="1646" s="273" customFormat="1" x14ac:dyDescent="0.2"/>
    <row r="1647" s="273" customFormat="1" x14ac:dyDescent="0.2"/>
    <row r="1648" s="273" customFormat="1" x14ac:dyDescent="0.2"/>
    <row r="1649" s="273" customFormat="1" x14ac:dyDescent="0.2"/>
    <row r="1650" s="273" customFormat="1" x14ac:dyDescent="0.2"/>
    <row r="1651" s="273" customFormat="1" x14ac:dyDescent="0.2"/>
    <row r="1652" s="273" customFormat="1" x14ac:dyDescent="0.2"/>
    <row r="1653" s="273" customFormat="1" x14ac:dyDescent="0.2"/>
    <row r="1654" s="273" customFormat="1" x14ac:dyDescent="0.2"/>
    <row r="1655" s="273" customFormat="1" x14ac:dyDescent="0.2"/>
    <row r="1656" s="273" customFormat="1" x14ac:dyDescent="0.2"/>
    <row r="1657" s="273" customFormat="1" x14ac:dyDescent="0.2"/>
    <row r="1658" s="273" customFormat="1" x14ac:dyDescent="0.2"/>
    <row r="1659" s="273" customFormat="1" x14ac:dyDescent="0.2"/>
    <row r="1660" s="273" customFormat="1" x14ac:dyDescent="0.2"/>
    <row r="1661" s="273" customFormat="1" x14ac:dyDescent="0.2"/>
    <row r="1662" s="273" customFormat="1" x14ac:dyDescent="0.2"/>
    <row r="1663" s="273" customFormat="1" x14ac:dyDescent="0.2"/>
    <row r="1664" s="273" customFormat="1" x14ac:dyDescent="0.2"/>
    <row r="1665" s="273" customFormat="1" x14ac:dyDescent="0.2"/>
    <row r="1666" s="273" customFormat="1" x14ac:dyDescent="0.2"/>
    <row r="1667" s="273" customFormat="1" x14ac:dyDescent="0.2"/>
    <row r="1668" s="273" customFormat="1" x14ac:dyDescent="0.2"/>
    <row r="1669" s="273" customFormat="1" x14ac:dyDescent="0.2"/>
    <row r="1670" s="273" customFormat="1" x14ac:dyDescent="0.2"/>
    <row r="1671" s="273" customFormat="1" x14ac:dyDescent="0.2"/>
    <row r="1672" s="273" customFormat="1" x14ac:dyDescent="0.2"/>
    <row r="1673" s="273" customFormat="1" x14ac:dyDescent="0.2"/>
    <row r="1674" s="273" customFormat="1" x14ac:dyDescent="0.2"/>
    <row r="1675" s="273" customFormat="1" x14ac:dyDescent="0.2"/>
    <row r="1676" s="273" customFormat="1" x14ac:dyDescent="0.2"/>
    <row r="1677" s="273" customFormat="1" x14ac:dyDescent="0.2"/>
    <row r="1678" s="273" customFormat="1" x14ac:dyDescent="0.2"/>
    <row r="1679" s="273" customFormat="1" x14ac:dyDescent="0.2"/>
    <row r="1680" s="273" customFormat="1" x14ac:dyDescent="0.2"/>
    <row r="1681" s="273" customFormat="1" x14ac:dyDescent="0.2"/>
    <row r="1682" s="273" customFormat="1" x14ac:dyDescent="0.2"/>
    <row r="1683" s="273" customFormat="1" x14ac:dyDescent="0.2"/>
    <row r="1684" s="273" customFormat="1" x14ac:dyDescent="0.2"/>
    <row r="1685" s="273" customFormat="1" x14ac:dyDescent="0.2"/>
    <row r="1686" s="273" customFormat="1" x14ac:dyDescent="0.2"/>
    <row r="1687" s="273" customFormat="1" x14ac:dyDescent="0.2"/>
    <row r="1688" s="273" customFormat="1" x14ac:dyDescent="0.2"/>
    <row r="1689" s="273" customFormat="1" x14ac:dyDescent="0.2"/>
    <row r="1690" s="273" customFormat="1" x14ac:dyDescent="0.2"/>
    <row r="1691" s="273" customFormat="1" x14ac:dyDescent="0.2"/>
    <row r="1692" s="273" customFormat="1" x14ac:dyDescent="0.2"/>
    <row r="1693" s="273" customFormat="1" x14ac:dyDescent="0.2"/>
    <row r="1694" s="273" customFormat="1" x14ac:dyDescent="0.2"/>
    <row r="1695" s="273" customFormat="1" x14ac:dyDescent="0.2"/>
    <row r="1696" s="273" customFormat="1" x14ac:dyDescent="0.2"/>
    <row r="1697" s="273" customFormat="1" x14ac:dyDescent="0.2"/>
    <row r="1698" s="273" customFormat="1" x14ac:dyDescent="0.2"/>
    <row r="1699" s="273" customFormat="1" x14ac:dyDescent="0.2"/>
    <row r="1700" s="273" customFormat="1" x14ac:dyDescent="0.2"/>
    <row r="1701" s="273" customFormat="1" x14ac:dyDescent="0.2"/>
    <row r="1702" s="273" customFormat="1" x14ac:dyDescent="0.2"/>
    <row r="1703" s="273" customFormat="1" x14ac:dyDescent="0.2"/>
    <row r="1704" s="273" customFormat="1" x14ac:dyDescent="0.2"/>
    <row r="1705" s="273" customFormat="1" x14ac:dyDescent="0.2"/>
    <row r="1706" s="273" customFormat="1" x14ac:dyDescent="0.2"/>
    <row r="1707" s="273" customFormat="1" x14ac:dyDescent="0.2"/>
    <row r="1708" s="273" customFormat="1" x14ac:dyDescent="0.2"/>
    <row r="1709" s="273" customFormat="1" x14ac:dyDescent="0.2"/>
    <row r="1710" s="273" customFormat="1" x14ac:dyDescent="0.2"/>
    <row r="1711" s="273" customFormat="1" x14ac:dyDescent="0.2"/>
    <row r="1712" s="273" customFormat="1" x14ac:dyDescent="0.2"/>
    <row r="1713" s="273" customFormat="1" x14ac:dyDescent="0.2"/>
    <row r="1714" s="273" customFormat="1" x14ac:dyDescent="0.2"/>
    <row r="1715" s="273" customFormat="1" x14ac:dyDescent="0.2"/>
    <row r="1716" s="273" customFormat="1" x14ac:dyDescent="0.2"/>
    <row r="1717" s="273" customFormat="1" x14ac:dyDescent="0.2"/>
    <row r="1718" s="273" customFormat="1" x14ac:dyDescent="0.2"/>
    <row r="1719" s="273" customFormat="1" x14ac:dyDescent="0.2"/>
    <row r="1720" s="273" customFormat="1" x14ac:dyDescent="0.2"/>
    <row r="1721" s="273" customFormat="1" x14ac:dyDescent="0.2"/>
    <row r="1722" s="273" customFormat="1" x14ac:dyDescent="0.2"/>
    <row r="1723" s="273" customFormat="1" x14ac:dyDescent="0.2"/>
    <row r="1724" s="273" customFormat="1" x14ac:dyDescent="0.2"/>
    <row r="1725" s="273" customFormat="1" x14ac:dyDescent="0.2"/>
    <row r="1726" s="273" customFormat="1" x14ac:dyDescent="0.2"/>
    <row r="1727" s="273" customFormat="1" x14ac:dyDescent="0.2"/>
    <row r="1728" s="273" customFormat="1" x14ac:dyDescent="0.2"/>
    <row r="1729" s="273" customFormat="1" x14ac:dyDescent="0.2"/>
    <row r="1730" s="273" customFormat="1" x14ac:dyDescent="0.2"/>
    <row r="1731" s="273" customFormat="1" x14ac:dyDescent="0.2"/>
    <row r="1732" s="273" customFormat="1" x14ac:dyDescent="0.2"/>
    <row r="1733" s="273" customFormat="1" x14ac:dyDescent="0.2"/>
    <row r="1734" s="273" customFormat="1" x14ac:dyDescent="0.2"/>
    <row r="1735" s="273" customFormat="1" x14ac:dyDescent="0.2"/>
    <row r="1736" s="273" customFormat="1" x14ac:dyDescent="0.2"/>
    <row r="1737" s="273" customFormat="1" x14ac:dyDescent="0.2"/>
    <row r="1738" s="273" customFormat="1" x14ac:dyDescent="0.2"/>
    <row r="1739" s="273" customFormat="1" x14ac:dyDescent="0.2"/>
    <row r="1740" s="273" customFormat="1" x14ac:dyDescent="0.2"/>
    <row r="1741" s="273" customFormat="1" x14ac:dyDescent="0.2"/>
    <row r="1742" s="273" customFormat="1" x14ac:dyDescent="0.2"/>
    <row r="1743" s="273" customFormat="1" x14ac:dyDescent="0.2"/>
    <row r="1744" s="273" customFormat="1" x14ac:dyDescent="0.2"/>
    <row r="1745" s="273" customFormat="1" x14ac:dyDescent="0.2"/>
    <row r="1746" s="273" customFormat="1" x14ac:dyDescent="0.2"/>
    <row r="1747" s="273" customFormat="1" x14ac:dyDescent="0.2"/>
    <row r="1748" s="273" customFormat="1" x14ac:dyDescent="0.2"/>
    <row r="1749" s="273" customFormat="1" x14ac:dyDescent="0.2"/>
    <row r="1750" s="273" customFormat="1" x14ac:dyDescent="0.2"/>
    <row r="1751" s="273" customFormat="1" x14ac:dyDescent="0.2"/>
    <row r="1752" s="273" customFormat="1" x14ac:dyDescent="0.2"/>
    <row r="1753" s="273" customFormat="1" x14ac:dyDescent="0.2"/>
    <row r="1754" s="273" customFormat="1" x14ac:dyDescent="0.2"/>
    <row r="1755" s="273" customFormat="1" x14ac:dyDescent="0.2"/>
    <row r="1756" s="273" customFormat="1" x14ac:dyDescent="0.2"/>
    <row r="1757" s="273" customFormat="1" x14ac:dyDescent="0.2"/>
    <row r="1758" s="273" customFormat="1" x14ac:dyDescent="0.2"/>
    <row r="1759" s="273" customFormat="1" x14ac:dyDescent="0.2"/>
    <row r="1760" s="273" customFormat="1" x14ac:dyDescent="0.2"/>
    <row r="1761" s="273" customFormat="1" x14ac:dyDescent="0.2"/>
    <row r="1762" s="273" customFormat="1" x14ac:dyDescent="0.2"/>
    <row r="1763" s="273" customFormat="1" x14ac:dyDescent="0.2"/>
    <row r="1764" s="273" customFormat="1" x14ac:dyDescent="0.2"/>
    <row r="1765" s="273" customFormat="1" x14ac:dyDescent="0.2"/>
    <row r="1766" s="273" customFormat="1" x14ac:dyDescent="0.2"/>
    <row r="1767" s="273" customFormat="1" x14ac:dyDescent="0.2"/>
    <row r="1768" s="273" customFormat="1" x14ac:dyDescent="0.2"/>
    <row r="1769" s="273" customFormat="1" x14ac:dyDescent="0.2"/>
    <row r="1770" s="273" customFormat="1" x14ac:dyDescent="0.2"/>
    <row r="1771" s="273" customFormat="1" x14ac:dyDescent="0.2"/>
    <row r="1772" s="273" customFormat="1" x14ac:dyDescent="0.2"/>
    <row r="1773" s="273" customFormat="1" x14ac:dyDescent="0.2"/>
    <row r="1774" s="273" customFormat="1" x14ac:dyDescent="0.2"/>
    <row r="1775" s="273" customFormat="1" x14ac:dyDescent="0.2"/>
    <row r="1776" s="273" customFormat="1" x14ac:dyDescent="0.2"/>
    <row r="1777" s="273" customFormat="1" x14ac:dyDescent="0.2"/>
    <row r="1778" s="273" customFormat="1" x14ac:dyDescent="0.2"/>
    <row r="1779" s="273" customFormat="1" x14ac:dyDescent="0.2"/>
    <row r="1780" s="273" customFormat="1" x14ac:dyDescent="0.2"/>
    <row r="1781" s="273" customFormat="1" x14ac:dyDescent="0.2"/>
    <row r="1782" s="273" customFormat="1" x14ac:dyDescent="0.2"/>
    <row r="1783" s="273" customFormat="1" x14ac:dyDescent="0.2"/>
    <row r="1784" s="273" customFormat="1" x14ac:dyDescent="0.2"/>
    <row r="1785" s="273" customFormat="1" x14ac:dyDescent="0.2"/>
    <row r="1786" s="273" customFormat="1" x14ac:dyDescent="0.2"/>
    <row r="1787" s="273" customFormat="1" x14ac:dyDescent="0.2"/>
    <row r="1788" s="273" customFormat="1" x14ac:dyDescent="0.2"/>
    <row r="1789" s="273" customFormat="1" x14ac:dyDescent="0.2"/>
    <row r="1790" s="273" customFormat="1" x14ac:dyDescent="0.2"/>
    <row r="1791" s="273" customFormat="1" x14ac:dyDescent="0.2"/>
    <row r="1792" s="273" customFormat="1" x14ac:dyDescent="0.2"/>
    <row r="1793" s="273" customFormat="1" x14ac:dyDescent="0.2"/>
    <row r="1794" s="273" customFormat="1" x14ac:dyDescent="0.2"/>
    <row r="1795" s="273" customFormat="1" x14ac:dyDescent="0.2"/>
    <row r="1796" s="273" customFormat="1" x14ac:dyDescent="0.2"/>
    <row r="1797" s="273" customFormat="1" x14ac:dyDescent="0.2"/>
    <row r="1798" s="273" customFormat="1" x14ac:dyDescent="0.2"/>
    <row r="1799" s="273" customFormat="1" x14ac:dyDescent="0.2"/>
    <row r="1800" s="273" customFormat="1" x14ac:dyDescent="0.2"/>
    <row r="1801" s="273" customFormat="1" x14ac:dyDescent="0.2"/>
    <row r="1802" s="273" customFormat="1" x14ac:dyDescent="0.2"/>
    <row r="1803" s="273" customFormat="1" x14ac:dyDescent="0.2"/>
    <row r="1804" s="273" customFormat="1" x14ac:dyDescent="0.2"/>
    <row r="1805" s="273" customFormat="1" x14ac:dyDescent="0.2"/>
    <row r="1806" s="273" customFormat="1" x14ac:dyDescent="0.2"/>
    <row r="1807" s="273" customFormat="1" x14ac:dyDescent="0.2"/>
    <row r="1808" s="273" customFormat="1" x14ac:dyDescent="0.2"/>
    <row r="1809" s="273" customFormat="1" x14ac:dyDescent="0.2"/>
    <row r="1810" s="273" customFormat="1" x14ac:dyDescent="0.2"/>
    <row r="1811" s="273" customFormat="1" x14ac:dyDescent="0.2"/>
    <row r="1812" s="273" customFormat="1" x14ac:dyDescent="0.2"/>
    <row r="1813" s="273" customFormat="1" x14ac:dyDescent="0.2"/>
    <row r="1814" s="273" customFormat="1" x14ac:dyDescent="0.2"/>
    <row r="1815" s="273" customFormat="1" x14ac:dyDescent="0.2"/>
    <row r="1816" s="273" customFormat="1" x14ac:dyDescent="0.2"/>
    <row r="1817" s="273" customFormat="1" x14ac:dyDescent="0.2"/>
    <row r="1818" s="273" customFormat="1" x14ac:dyDescent="0.2"/>
    <row r="1819" s="273" customFormat="1" x14ac:dyDescent="0.2"/>
    <row r="1820" s="273" customFormat="1" x14ac:dyDescent="0.2"/>
    <row r="1821" s="273" customFormat="1" x14ac:dyDescent="0.2"/>
    <row r="1822" s="273" customFormat="1" x14ac:dyDescent="0.2"/>
    <row r="1823" s="273" customFormat="1" x14ac:dyDescent="0.2"/>
    <row r="1824" s="273" customFormat="1" x14ac:dyDescent="0.2"/>
    <row r="1825" s="273" customFormat="1" x14ac:dyDescent="0.2"/>
    <row r="1826" s="273" customFormat="1" x14ac:dyDescent="0.2"/>
    <row r="1827" s="273" customFormat="1" x14ac:dyDescent="0.2"/>
    <row r="1828" s="273" customFormat="1" x14ac:dyDescent="0.2"/>
    <row r="1829" s="273" customFormat="1" x14ac:dyDescent="0.2"/>
    <row r="1830" s="273" customFormat="1" x14ac:dyDescent="0.2"/>
    <row r="1831" s="273" customFormat="1" x14ac:dyDescent="0.2"/>
    <row r="1832" s="273" customFormat="1" x14ac:dyDescent="0.2"/>
    <row r="1833" s="273" customFormat="1" x14ac:dyDescent="0.2"/>
    <row r="1834" s="273" customFormat="1" x14ac:dyDescent="0.2"/>
    <row r="1835" s="273" customFormat="1" x14ac:dyDescent="0.2"/>
    <row r="1836" s="273" customFormat="1" x14ac:dyDescent="0.2"/>
    <row r="1837" s="273" customFormat="1" x14ac:dyDescent="0.2"/>
    <row r="1838" s="273" customFormat="1" x14ac:dyDescent="0.2"/>
    <row r="1839" s="273" customFormat="1" x14ac:dyDescent="0.2"/>
    <row r="1840" s="273" customFormat="1" x14ac:dyDescent="0.2"/>
    <row r="1841" s="273" customFormat="1" x14ac:dyDescent="0.2"/>
    <row r="1842" s="273" customFormat="1" x14ac:dyDescent="0.2"/>
    <row r="1843" s="273" customFormat="1" x14ac:dyDescent="0.2"/>
    <row r="1844" s="273" customFormat="1" x14ac:dyDescent="0.2"/>
    <row r="1845" s="273" customFormat="1" x14ac:dyDescent="0.2"/>
    <row r="1846" s="273" customFormat="1" x14ac:dyDescent="0.2"/>
    <row r="1847" s="273" customFormat="1" x14ac:dyDescent="0.2"/>
    <row r="1848" s="273" customFormat="1" x14ac:dyDescent="0.2"/>
    <row r="1849" s="273" customFormat="1" x14ac:dyDescent="0.2"/>
    <row r="1850" s="273" customFormat="1" x14ac:dyDescent="0.2"/>
    <row r="1851" s="273" customFormat="1" x14ac:dyDescent="0.2"/>
    <row r="1852" s="273" customFormat="1" x14ac:dyDescent="0.2"/>
    <row r="1853" s="273" customFormat="1" x14ac:dyDescent="0.2"/>
    <row r="1854" s="273" customFormat="1" x14ac:dyDescent="0.2"/>
    <row r="1855" s="273" customFormat="1" x14ac:dyDescent="0.2"/>
    <row r="1856" s="273" customFormat="1" x14ac:dyDescent="0.2"/>
    <row r="1857" s="273" customFormat="1" x14ac:dyDescent="0.2"/>
    <row r="1858" s="273" customFormat="1" x14ac:dyDescent="0.2"/>
    <row r="1859" s="273" customFormat="1" x14ac:dyDescent="0.2"/>
    <row r="1860" s="273" customFormat="1" x14ac:dyDescent="0.2"/>
    <row r="1861" s="273" customFormat="1" x14ac:dyDescent="0.2"/>
    <row r="1862" s="273" customFormat="1" x14ac:dyDescent="0.2"/>
    <row r="1863" s="273" customFormat="1" x14ac:dyDescent="0.2"/>
    <row r="1864" s="273" customFormat="1" x14ac:dyDescent="0.2"/>
    <row r="1865" s="273" customFormat="1" x14ac:dyDescent="0.2"/>
    <row r="1866" s="273" customFormat="1" x14ac:dyDescent="0.2"/>
    <row r="1867" s="273" customFormat="1" x14ac:dyDescent="0.2"/>
    <row r="1868" s="273" customFormat="1" x14ac:dyDescent="0.2"/>
    <row r="1869" s="273" customFormat="1" x14ac:dyDescent="0.2"/>
    <row r="1870" s="273" customFormat="1" x14ac:dyDescent="0.2"/>
    <row r="1871" s="273" customFormat="1" x14ac:dyDescent="0.2"/>
    <row r="1872" s="273" customFormat="1" x14ac:dyDescent="0.2"/>
    <row r="1873" s="273" customFormat="1" x14ac:dyDescent="0.2"/>
    <row r="1874" s="273" customFormat="1" x14ac:dyDescent="0.2"/>
    <row r="1875" s="273" customFormat="1" x14ac:dyDescent="0.2"/>
    <row r="1876" s="273" customFormat="1" x14ac:dyDescent="0.2"/>
    <row r="1877" s="273" customFormat="1" x14ac:dyDescent="0.2"/>
    <row r="1878" s="273" customFormat="1" x14ac:dyDescent="0.2"/>
    <row r="1879" s="273" customFormat="1" x14ac:dyDescent="0.2"/>
    <row r="1880" s="273" customFormat="1" x14ac:dyDescent="0.2"/>
    <row r="1881" s="273" customFormat="1" x14ac:dyDescent="0.2"/>
    <row r="1882" s="273" customFormat="1" x14ac:dyDescent="0.2"/>
    <row r="1883" s="273" customFormat="1" x14ac:dyDescent="0.2"/>
    <row r="1884" s="273" customFormat="1" x14ac:dyDescent="0.2"/>
    <row r="1885" s="273" customFormat="1" x14ac:dyDescent="0.2"/>
    <row r="1886" s="273" customFormat="1" x14ac:dyDescent="0.2"/>
    <row r="1887" s="273" customFormat="1" x14ac:dyDescent="0.2"/>
    <row r="1888" s="273" customFormat="1" x14ac:dyDescent="0.2"/>
    <row r="1889" s="273" customFormat="1" x14ac:dyDescent="0.2"/>
    <row r="1890" s="273" customFormat="1" x14ac:dyDescent="0.2"/>
    <row r="1891" s="273" customFormat="1" x14ac:dyDescent="0.2"/>
    <row r="1892" s="273" customFormat="1" x14ac:dyDescent="0.2"/>
    <row r="1893" s="273" customFormat="1" x14ac:dyDescent="0.2"/>
    <row r="1894" s="273" customFormat="1" x14ac:dyDescent="0.2"/>
    <row r="1895" s="273" customFormat="1" x14ac:dyDescent="0.2"/>
    <row r="1896" s="273" customFormat="1" x14ac:dyDescent="0.2"/>
    <row r="1897" s="273" customFormat="1" x14ac:dyDescent="0.2"/>
    <row r="1898" s="273" customFormat="1" x14ac:dyDescent="0.2"/>
    <row r="1899" s="273" customFormat="1" x14ac:dyDescent="0.2"/>
    <row r="1900" s="273" customFormat="1" x14ac:dyDescent="0.2"/>
    <row r="1901" s="273" customFormat="1" x14ac:dyDescent="0.2"/>
    <row r="1902" s="273" customFormat="1" x14ac:dyDescent="0.2"/>
    <row r="1903" s="273" customFormat="1" x14ac:dyDescent="0.2"/>
    <row r="1904" s="273" customFormat="1" x14ac:dyDescent="0.2"/>
    <row r="1905" s="273" customFormat="1" x14ac:dyDescent="0.2"/>
    <row r="1906" s="273" customFormat="1" x14ac:dyDescent="0.2"/>
    <row r="1907" s="273" customFormat="1" x14ac:dyDescent="0.2"/>
    <row r="1908" s="273" customFormat="1" x14ac:dyDescent="0.2"/>
    <row r="1909" s="273" customFormat="1" x14ac:dyDescent="0.2"/>
    <row r="1910" s="273" customFormat="1" x14ac:dyDescent="0.2"/>
    <row r="1911" s="273" customFormat="1" x14ac:dyDescent="0.2"/>
    <row r="1912" s="273" customFormat="1" x14ac:dyDescent="0.2"/>
    <row r="1913" s="273" customFormat="1" x14ac:dyDescent="0.2"/>
    <row r="1914" s="273" customFormat="1" x14ac:dyDescent="0.2"/>
    <row r="1915" s="273" customFormat="1" x14ac:dyDescent="0.2"/>
    <row r="1916" s="273" customFormat="1" x14ac:dyDescent="0.2"/>
    <row r="1917" s="273" customFormat="1" x14ac:dyDescent="0.2"/>
    <row r="1918" s="273" customFormat="1" x14ac:dyDescent="0.2"/>
    <row r="1919" s="273" customFormat="1" x14ac:dyDescent="0.2"/>
    <row r="1920" s="273" customFormat="1" x14ac:dyDescent="0.2"/>
    <row r="1921" s="273" customFormat="1" x14ac:dyDescent="0.2"/>
    <row r="1922" s="273" customFormat="1" x14ac:dyDescent="0.2"/>
    <row r="1923" s="273" customFormat="1" x14ac:dyDescent="0.2"/>
    <row r="1924" s="273" customFormat="1" x14ac:dyDescent="0.2"/>
    <row r="1925" s="273" customFormat="1" x14ac:dyDescent="0.2"/>
    <row r="1926" s="273" customFormat="1" x14ac:dyDescent="0.2"/>
    <row r="1927" s="273" customFormat="1" x14ac:dyDescent="0.2"/>
    <row r="1928" s="273" customFormat="1" x14ac:dyDescent="0.2"/>
    <row r="1929" s="273" customFormat="1" x14ac:dyDescent="0.2"/>
    <row r="1930" s="273" customFormat="1" x14ac:dyDescent="0.2"/>
    <row r="1931" s="273" customFormat="1" x14ac:dyDescent="0.2"/>
    <row r="1932" s="273" customFormat="1" x14ac:dyDescent="0.2"/>
    <row r="1933" s="273" customFormat="1" x14ac:dyDescent="0.2"/>
    <row r="1934" s="273" customFormat="1" x14ac:dyDescent="0.2"/>
    <row r="1935" s="273" customFormat="1" x14ac:dyDescent="0.2"/>
    <row r="1936" s="273" customFormat="1" x14ac:dyDescent="0.2"/>
    <row r="1937" s="273" customFormat="1" x14ac:dyDescent="0.2"/>
    <row r="1938" s="273" customFormat="1" x14ac:dyDescent="0.2"/>
    <row r="1939" s="273" customFormat="1" x14ac:dyDescent="0.2"/>
    <row r="1940" s="273" customFormat="1" x14ac:dyDescent="0.2"/>
    <row r="1941" s="273" customFormat="1" x14ac:dyDescent="0.2"/>
    <row r="1942" s="273" customFormat="1" x14ac:dyDescent="0.2"/>
    <row r="1943" s="273" customFormat="1" x14ac:dyDescent="0.2"/>
    <row r="1944" s="273" customFormat="1" x14ac:dyDescent="0.2"/>
    <row r="1945" s="273" customFormat="1" x14ac:dyDescent="0.2"/>
    <row r="1946" s="273" customFormat="1" x14ac:dyDescent="0.2"/>
    <row r="1947" s="273" customFormat="1" x14ac:dyDescent="0.2"/>
    <row r="1948" s="273" customFormat="1" x14ac:dyDescent="0.2"/>
    <row r="1949" s="273" customFormat="1" x14ac:dyDescent="0.2"/>
    <row r="1950" s="273" customFormat="1" x14ac:dyDescent="0.2"/>
    <row r="1951" s="273" customFormat="1" x14ac:dyDescent="0.2"/>
    <row r="1952" s="273" customFormat="1" x14ac:dyDescent="0.2"/>
    <row r="1953" s="273" customFormat="1" x14ac:dyDescent="0.2"/>
    <row r="1954" s="273" customFormat="1" x14ac:dyDescent="0.2"/>
    <row r="1955" s="273" customFormat="1" x14ac:dyDescent="0.2"/>
    <row r="1956" s="273" customFormat="1" x14ac:dyDescent="0.2"/>
    <row r="1957" s="273" customFormat="1" x14ac:dyDescent="0.2"/>
    <row r="1958" s="273" customFormat="1" x14ac:dyDescent="0.2"/>
    <row r="1959" s="273" customFormat="1" x14ac:dyDescent="0.2"/>
    <row r="1960" s="273" customFormat="1" x14ac:dyDescent="0.2"/>
    <row r="1961" s="273" customFormat="1" x14ac:dyDescent="0.2"/>
    <row r="1962" s="273" customFormat="1" x14ac:dyDescent="0.2"/>
    <row r="1963" s="273" customFormat="1" x14ac:dyDescent="0.2"/>
    <row r="1964" s="273" customFormat="1" x14ac:dyDescent="0.2"/>
    <row r="1965" s="273" customFormat="1" x14ac:dyDescent="0.2"/>
    <row r="1966" s="273" customFormat="1" x14ac:dyDescent="0.2"/>
    <row r="1967" s="273" customFormat="1" x14ac:dyDescent="0.2"/>
    <row r="1968" s="273" customFormat="1" x14ac:dyDescent="0.2"/>
    <row r="1969" s="273" customFormat="1" x14ac:dyDescent="0.2"/>
    <row r="1970" s="273" customFormat="1" x14ac:dyDescent="0.2"/>
    <row r="1971" s="273" customFormat="1" x14ac:dyDescent="0.2"/>
    <row r="1972" s="273" customFormat="1" x14ac:dyDescent="0.2"/>
    <row r="1973" s="273" customFormat="1" x14ac:dyDescent="0.2"/>
    <row r="1974" s="273" customFormat="1" x14ac:dyDescent="0.2"/>
    <row r="1975" s="273" customFormat="1" x14ac:dyDescent="0.2"/>
    <row r="1976" s="273" customFormat="1" x14ac:dyDescent="0.2"/>
    <row r="1977" s="273" customFormat="1" x14ac:dyDescent="0.2"/>
    <row r="1978" s="273" customFormat="1" x14ac:dyDescent="0.2"/>
    <row r="1979" s="273" customFormat="1" x14ac:dyDescent="0.2"/>
    <row r="1980" s="273" customFormat="1" x14ac:dyDescent="0.2"/>
    <row r="1981" s="273" customFormat="1" x14ac:dyDescent="0.2"/>
    <row r="1982" s="273" customFormat="1" x14ac:dyDescent="0.2"/>
    <row r="1983" s="273" customFormat="1" x14ac:dyDescent="0.2"/>
    <row r="1984" s="273" customFormat="1" x14ac:dyDescent="0.2"/>
    <row r="1985" s="273" customFormat="1" x14ac:dyDescent="0.2"/>
    <row r="1986" s="273" customFormat="1" x14ac:dyDescent="0.2"/>
    <row r="1987" s="273" customFormat="1" x14ac:dyDescent="0.2"/>
    <row r="1988" s="273" customFormat="1" x14ac:dyDescent="0.2"/>
    <row r="1989" s="273" customFormat="1" x14ac:dyDescent="0.2"/>
    <row r="1990" s="273" customFormat="1" x14ac:dyDescent="0.2"/>
    <row r="1991" s="273" customFormat="1" x14ac:dyDescent="0.2"/>
    <row r="1992" s="273" customFormat="1" x14ac:dyDescent="0.2"/>
    <row r="1993" s="273" customFormat="1" x14ac:dyDescent="0.2"/>
    <row r="1994" s="273" customFormat="1" x14ac:dyDescent="0.2"/>
    <row r="1995" s="273" customFormat="1" x14ac:dyDescent="0.2"/>
    <row r="1996" s="273" customFormat="1" x14ac:dyDescent="0.2"/>
    <row r="1997" s="273" customFormat="1" x14ac:dyDescent="0.2"/>
    <row r="1998" s="273" customFormat="1" x14ac:dyDescent="0.2"/>
    <row r="1999" s="273" customFormat="1" x14ac:dyDescent="0.2"/>
    <row r="2000" s="273" customFormat="1" x14ac:dyDescent="0.2"/>
    <row r="2001" s="273" customFormat="1" x14ac:dyDescent="0.2"/>
    <row r="2002" s="273" customFormat="1" x14ac:dyDescent="0.2"/>
    <row r="2003" s="273" customFormat="1" x14ac:dyDescent="0.2"/>
    <row r="2004" s="273" customFormat="1" x14ac:dyDescent="0.2"/>
    <row r="2005" s="273" customFormat="1" x14ac:dyDescent="0.2"/>
    <row r="2006" s="273" customFormat="1" x14ac:dyDescent="0.2"/>
    <row r="2007" s="273" customFormat="1" x14ac:dyDescent="0.2"/>
    <row r="2008" s="273" customFormat="1" x14ac:dyDescent="0.2"/>
    <row r="2009" s="273" customFormat="1" x14ac:dyDescent="0.2"/>
    <row r="2010" s="273" customFormat="1" x14ac:dyDescent="0.2"/>
    <row r="2011" s="273" customFormat="1" x14ac:dyDescent="0.2"/>
    <row r="2012" s="273" customFormat="1" x14ac:dyDescent="0.2"/>
    <row r="2013" s="273" customFormat="1" x14ac:dyDescent="0.2"/>
    <row r="2014" s="273" customFormat="1" x14ac:dyDescent="0.2"/>
    <row r="2015" s="273" customFormat="1" x14ac:dyDescent="0.2"/>
    <row r="2016" s="273" customFormat="1" x14ac:dyDescent="0.2"/>
    <row r="2017" s="273" customFormat="1" x14ac:dyDescent="0.2"/>
    <row r="2018" s="273" customFormat="1" x14ac:dyDescent="0.2"/>
    <row r="2019" s="273" customFormat="1" x14ac:dyDescent="0.2"/>
    <row r="2020" s="273" customFormat="1" x14ac:dyDescent="0.2"/>
    <row r="2021" s="273" customFormat="1" x14ac:dyDescent="0.2"/>
    <row r="2022" s="273" customFormat="1" x14ac:dyDescent="0.2"/>
    <row r="2023" s="273" customFormat="1" x14ac:dyDescent="0.2"/>
    <row r="2024" s="273" customFormat="1" x14ac:dyDescent="0.2"/>
    <row r="2025" s="273" customFormat="1" x14ac:dyDescent="0.2"/>
    <row r="2026" s="273" customFormat="1" x14ac:dyDescent="0.2"/>
    <row r="2027" s="273" customFormat="1" x14ac:dyDescent="0.2"/>
    <row r="2028" s="273" customFormat="1" x14ac:dyDescent="0.2"/>
    <row r="2029" s="273" customFormat="1" x14ac:dyDescent="0.2"/>
    <row r="2030" s="273" customFormat="1" x14ac:dyDescent="0.2"/>
    <row r="2031" s="273" customFormat="1" x14ac:dyDescent="0.2"/>
    <row r="2032" s="273" customFormat="1" x14ac:dyDescent="0.2"/>
    <row r="2033" s="273" customFormat="1" x14ac:dyDescent="0.2"/>
    <row r="2034" s="273" customFormat="1" x14ac:dyDescent="0.2"/>
    <row r="2035" s="273" customFormat="1" x14ac:dyDescent="0.2"/>
    <row r="2036" s="273" customFormat="1" x14ac:dyDescent="0.2"/>
    <row r="2037" s="273" customFormat="1" x14ac:dyDescent="0.2"/>
    <row r="2038" s="273" customFormat="1" x14ac:dyDescent="0.2"/>
    <row r="2039" s="273" customFormat="1" x14ac:dyDescent="0.2"/>
    <row r="2040" s="273" customFormat="1" x14ac:dyDescent="0.2"/>
    <row r="2041" s="273" customFormat="1" x14ac:dyDescent="0.2"/>
    <row r="2042" s="273" customFormat="1" x14ac:dyDescent="0.2"/>
    <row r="2043" s="273" customFormat="1" x14ac:dyDescent="0.2"/>
    <row r="2044" s="273" customFormat="1" x14ac:dyDescent="0.2"/>
    <row r="2045" s="273" customFormat="1" x14ac:dyDescent="0.2"/>
    <row r="2046" s="273" customFormat="1" x14ac:dyDescent="0.2"/>
    <row r="2047" s="273" customFormat="1" x14ac:dyDescent="0.2"/>
    <row r="2048" s="273" customFormat="1" x14ac:dyDescent="0.2"/>
    <row r="2049" s="273" customFormat="1" x14ac:dyDescent="0.2"/>
    <row r="2050" s="273" customFormat="1" x14ac:dyDescent="0.2"/>
    <row r="2051" s="273" customFormat="1" x14ac:dyDescent="0.2"/>
    <row r="2052" s="273" customFormat="1" x14ac:dyDescent="0.2"/>
    <row r="2053" s="273" customFormat="1" x14ac:dyDescent="0.2"/>
    <row r="2054" s="273" customFormat="1" x14ac:dyDescent="0.2"/>
    <row r="2055" s="273" customFormat="1" x14ac:dyDescent="0.2"/>
    <row r="2056" s="273" customFormat="1" x14ac:dyDescent="0.2"/>
    <row r="2057" s="273" customFormat="1" x14ac:dyDescent="0.2"/>
    <row r="2058" s="273" customFormat="1" x14ac:dyDescent="0.2"/>
    <row r="2059" s="273" customFormat="1" x14ac:dyDescent="0.2"/>
    <row r="2060" s="273" customFormat="1" x14ac:dyDescent="0.2"/>
    <row r="2061" s="273" customFormat="1" x14ac:dyDescent="0.2"/>
    <row r="2062" s="273" customFormat="1" x14ac:dyDescent="0.2"/>
    <row r="2063" s="273" customFormat="1" x14ac:dyDescent="0.2"/>
    <row r="2064" s="273" customFormat="1" x14ac:dyDescent="0.2"/>
    <row r="2065" s="273" customFormat="1" x14ac:dyDescent="0.2"/>
    <row r="2066" s="273" customFormat="1" x14ac:dyDescent="0.2"/>
    <row r="2067" s="273" customFormat="1" x14ac:dyDescent="0.2"/>
    <row r="2068" s="273" customFormat="1" x14ac:dyDescent="0.2"/>
    <row r="2069" s="273" customFormat="1" x14ac:dyDescent="0.2"/>
    <row r="2070" s="273" customFormat="1" x14ac:dyDescent="0.2"/>
    <row r="2071" s="273" customFormat="1" x14ac:dyDescent="0.2"/>
    <row r="2072" s="273" customFormat="1" x14ac:dyDescent="0.2"/>
    <row r="2073" s="273" customFormat="1" x14ac:dyDescent="0.2"/>
    <row r="2074" s="273" customFormat="1" x14ac:dyDescent="0.2"/>
    <row r="2075" s="273" customFormat="1" x14ac:dyDescent="0.2"/>
    <row r="2076" s="273" customFormat="1" x14ac:dyDescent="0.2"/>
    <row r="2077" s="273" customFormat="1" x14ac:dyDescent="0.2"/>
    <row r="2078" s="273" customFormat="1" x14ac:dyDescent="0.2"/>
    <row r="2079" s="273" customFormat="1" x14ac:dyDescent="0.2"/>
    <row r="2080" s="273" customFormat="1" x14ac:dyDescent="0.2"/>
    <row r="2081" s="273" customFormat="1" x14ac:dyDescent="0.2"/>
    <row r="2082" s="273" customFormat="1" x14ac:dyDescent="0.2"/>
    <row r="2083" s="273" customFormat="1" x14ac:dyDescent="0.2"/>
    <row r="2084" s="273" customFormat="1" x14ac:dyDescent="0.2"/>
    <row r="2085" s="273" customFormat="1" x14ac:dyDescent="0.2"/>
    <row r="2086" s="273" customFormat="1" x14ac:dyDescent="0.2"/>
    <row r="2087" s="273" customFormat="1" x14ac:dyDescent="0.2"/>
    <row r="2088" s="273" customFormat="1" x14ac:dyDescent="0.2"/>
    <row r="2089" s="273" customFormat="1" x14ac:dyDescent="0.2"/>
    <row r="2090" s="273" customFormat="1" x14ac:dyDescent="0.2"/>
    <row r="2091" s="273" customFormat="1" x14ac:dyDescent="0.2"/>
    <row r="2092" s="273" customFormat="1" x14ac:dyDescent="0.2"/>
    <row r="2093" s="273" customFormat="1" x14ac:dyDescent="0.2"/>
    <row r="2094" s="273" customFormat="1" x14ac:dyDescent="0.2"/>
    <row r="2095" s="273" customFormat="1" x14ac:dyDescent="0.2"/>
    <row r="2096" s="273" customFormat="1" x14ac:dyDescent="0.2"/>
    <row r="2097" s="273" customFormat="1" x14ac:dyDescent="0.2"/>
    <row r="2098" s="273" customFormat="1" x14ac:dyDescent="0.2"/>
    <row r="2099" s="273" customFormat="1" x14ac:dyDescent="0.2"/>
    <row r="2100" s="273" customFormat="1" x14ac:dyDescent="0.2"/>
    <row r="2101" s="273" customFormat="1" x14ac:dyDescent="0.2"/>
    <row r="2102" s="273" customFormat="1" x14ac:dyDescent="0.2"/>
    <row r="2103" s="273" customFormat="1" x14ac:dyDescent="0.2"/>
    <row r="2104" s="273" customFormat="1" x14ac:dyDescent="0.2"/>
    <row r="2105" s="273" customFormat="1" x14ac:dyDescent="0.2"/>
    <row r="2106" s="273" customFormat="1" x14ac:dyDescent="0.2"/>
    <row r="2107" s="273" customFormat="1" x14ac:dyDescent="0.2"/>
    <row r="2108" s="273" customFormat="1" x14ac:dyDescent="0.2"/>
    <row r="2109" s="273" customFormat="1" x14ac:dyDescent="0.2"/>
    <row r="2110" s="273" customFormat="1" x14ac:dyDescent="0.2"/>
    <row r="2111" s="273" customFormat="1" x14ac:dyDescent="0.2"/>
    <row r="2112" s="273" customFormat="1" x14ac:dyDescent="0.2"/>
    <row r="2113" s="273" customFormat="1" x14ac:dyDescent="0.2"/>
    <row r="2114" s="273" customFormat="1" x14ac:dyDescent="0.2"/>
    <row r="2115" s="273" customFormat="1" x14ac:dyDescent="0.2"/>
    <row r="2116" s="273" customFormat="1" x14ac:dyDescent="0.2"/>
    <row r="2117" s="273" customFormat="1" x14ac:dyDescent="0.2"/>
    <row r="2118" s="273" customFormat="1" x14ac:dyDescent="0.2"/>
    <row r="2119" s="273" customFormat="1" x14ac:dyDescent="0.2"/>
    <row r="2120" s="273" customFormat="1" x14ac:dyDescent="0.2"/>
    <row r="2121" s="273" customFormat="1" x14ac:dyDescent="0.2"/>
    <row r="2122" s="273" customFormat="1" x14ac:dyDescent="0.2"/>
    <row r="2123" s="273" customFormat="1" x14ac:dyDescent="0.2"/>
    <row r="2124" s="273" customFormat="1" x14ac:dyDescent="0.2"/>
    <row r="2125" s="273" customFormat="1" x14ac:dyDescent="0.2"/>
    <row r="2126" s="273" customFormat="1" x14ac:dyDescent="0.2"/>
    <row r="2127" s="273" customFormat="1" x14ac:dyDescent="0.2"/>
    <row r="2128" s="273" customFormat="1" x14ac:dyDescent="0.2"/>
    <row r="2129" s="273" customFormat="1" x14ac:dyDescent="0.2"/>
    <row r="2130" s="273" customFormat="1" x14ac:dyDescent="0.2"/>
    <row r="2131" s="273" customFormat="1" x14ac:dyDescent="0.2"/>
    <row r="2132" s="273" customFormat="1" x14ac:dyDescent="0.2"/>
    <row r="2133" s="273" customFormat="1" x14ac:dyDescent="0.2"/>
    <row r="2134" s="273" customFormat="1" x14ac:dyDescent="0.2"/>
    <row r="2135" s="273" customFormat="1" x14ac:dyDescent="0.2"/>
    <row r="2136" s="273" customFormat="1" x14ac:dyDescent="0.2"/>
    <row r="2137" s="273" customFormat="1" x14ac:dyDescent="0.2"/>
    <row r="2138" s="273" customFormat="1" x14ac:dyDescent="0.2"/>
    <row r="2139" s="273" customFormat="1" x14ac:dyDescent="0.2"/>
    <row r="2140" s="273" customFormat="1" x14ac:dyDescent="0.2"/>
    <row r="2141" s="273" customFormat="1" x14ac:dyDescent="0.2"/>
    <row r="2142" s="273" customFormat="1" x14ac:dyDescent="0.2"/>
    <row r="2143" s="273" customFormat="1" x14ac:dyDescent="0.2"/>
    <row r="2144" s="273" customFormat="1" x14ac:dyDescent="0.2"/>
    <row r="2145" s="273" customFormat="1" x14ac:dyDescent="0.2"/>
    <row r="2146" s="273" customFormat="1" x14ac:dyDescent="0.2"/>
    <row r="2147" s="273" customFormat="1" x14ac:dyDescent="0.2"/>
    <row r="2148" s="273" customFormat="1" x14ac:dyDescent="0.2"/>
    <row r="2149" s="273" customFormat="1" x14ac:dyDescent="0.2"/>
    <row r="2150" s="273" customFormat="1" x14ac:dyDescent="0.2"/>
    <row r="2151" s="273" customFormat="1" x14ac:dyDescent="0.2"/>
    <row r="2152" s="273" customFormat="1" x14ac:dyDescent="0.2"/>
    <row r="2153" s="273" customFormat="1" x14ac:dyDescent="0.2"/>
    <row r="2154" s="273" customFormat="1" x14ac:dyDescent="0.2"/>
    <row r="2155" s="273" customFormat="1" x14ac:dyDescent="0.2"/>
    <row r="2156" s="273" customFormat="1" x14ac:dyDescent="0.2"/>
    <row r="2157" s="273" customFormat="1" x14ac:dyDescent="0.2"/>
    <row r="2158" s="273" customFormat="1" x14ac:dyDescent="0.2"/>
    <row r="2159" s="273" customFormat="1" x14ac:dyDescent="0.2"/>
    <row r="2160" s="273" customFormat="1" x14ac:dyDescent="0.2"/>
    <row r="2161" s="273" customFormat="1" x14ac:dyDescent="0.2"/>
    <row r="2162" s="273" customFormat="1" x14ac:dyDescent="0.2"/>
    <row r="2163" s="273" customFormat="1" x14ac:dyDescent="0.2"/>
    <row r="2164" s="273" customFormat="1" x14ac:dyDescent="0.2"/>
    <row r="2165" s="273" customFormat="1" x14ac:dyDescent="0.2"/>
    <row r="2166" s="273" customFormat="1" x14ac:dyDescent="0.2"/>
    <row r="2167" s="273" customFormat="1" x14ac:dyDescent="0.2"/>
    <row r="2168" s="273" customFormat="1" x14ac:dyDescent="0.2"/>
    <row r="2169" s="273" customFormat="1" x14ac:dyDescent="0.2"/>
    <row r="2170" s="273" customFormat="1" x14ac:dyDescent="0.2"/>
    <row r="2171" s="273" customFormat="1" x14ac:dyDescent="0.2"/>
    <row r="2172" s="273" customFormat="1" x14ac:dyDescent="0.2"/>
    <row r="2173" s="273" customFormat="1" x14ac:dyDescent="0.2"/>
    <row r="2174" s="273" customFormat="1" x14ac:dyDescent="0.2"/>
    <row r="2175" s="273" customFormat="1" x14ac:dyDescent="0.2"/>
    <row r="2176" s="273" customFormat="1" x14ac:dyDescent="0.2"/>
    <row r="2177" s="273" customFormat="1" x14ac:dyDescent="0.2"/>
    <row r="2178" s="273" customFormat="1" x14ac:dyDescent="0.2"/>
    <row r="2179" s="273" customFormat="1" x14ac:dyDescent="0.2"/>
    <row r="2180" s="273" customFormat="1" x14ac:dyDescent="0.2"/>
    <row r="2181" s="273" customFormat="1" x14ac:dyDescent="0.2"/>
    <row r="2182" s="273" customFormat="1" x14ac:dyDescent="0.2"/>
    <row r="2183" s="273" customFormat="1" x14ac:dyDescent="0.2"/>
    <row r="2184" s="273" customFormat="1" x14ac:dyDescent="0.2"/>
    <row r="2185" s="273" customFormat="1" x14ac:dyDescent="0.2"/>
    <row r="2186" s="273" customFormat="1" x14ac:dyDescent="0.2"/>
    <row r="2187" s="273" customFormat="1" x14ac:dyDescent="0.2"/>
    <row r="2188" s="273" customFormat="1" x14ac:dyDescent="0.2"/>
    <row r="2189" s="273" customFormat="1" x14ac:dyDescent="0.2"/>
    <row r="2190" s="273" customFormat="1" x14ac:dyDescent="0.2"/>
    <row r="2191" s="273" customFormat="1" x14ac:dyDescent="0.2"/>
    <row r="2192" s="273" customFormat="1" x14ac:dyDescent="0.2"/>
    <row r="2193" s="273" customFormat="1" x14ac:dyDescent="0.2"/>
    <row r="2194" s="273" customFormat="1" x14ac:dyDescent="0.2"/>
    <row r="2195" s="273" customFormat="1" x14ac:dyDescent="0.2"/>
    <row r="2196" s="273" customFormat="1" x14ac:dyDescent="0.2"/>
    <row r="2197" s="273" customFormat="1" x14ac:dyDescent="0.2"/>
    <row r="2198" s="273" customFormat="1" x14ac:dyDescent="0.2"/>
    <row r="2199" s="273" customFormat="1" x14ac:dyDescent="0.2"/>
    <row r="2200" s="273" customFormat="1" x14ac:dyDescent="0.2"/>
    <row r="2201" s="273" customFormat="1" x14ac:dyDescent="0.2"/>
    <row r="2202" s="273" customFormat="1" x14ac:dyDescent="0.2"/>
    <row r="2203" s="273" customFormat="1" x14ac:dyDescent="0.2"/>
    <row r="2204" s="273" customFormat="1" x14ac:dyDescent="0.2"/>
    <row r="2205" s="273" customFormat="1" x14ac:dyDescent="0.2"/>
    <row r="2206" s="273" customFormat="1" x14ac:dyDescent="0.2"/>
    <row r="2207" s="273" customFormat="1" x14ac:dyDescent="0.2"/>
    <row r="2208" s="273" customFormat="1" x14ac:dyDescent="0.2"/>
    <row r="2209" s="273" customFormat="1" x14ac:dyDescent="0.2"/>
    <row r="2210" s="273" customFormat="1" x14ac:dyDescent="0.2"/>
    <row r="2211" s="273" customFormat="1" x14ac:dyDescent="0.2"/>
    <row r="2212" s="273" customFormat="1" x14ac:dyDescent="0.2"/>
    <row r="2213" s="273" customFormat="1" x14ac:dyDescent="0.2"/>
    <row r="2214" s="273" customFormat="1" x14ac:dyDescent="0.2"/>
    <row r="2215" s="273" customFormat="1" x14ac:dyDescent="0.2"/>
    <row r="2216" s="273" customFormat="1" x14ac:dyDescent="0.2"/>
    <row r="2217" s="273" customFormat="1" x14ac:dyDescent="0.2"/>
    <row r="2218" s="273" customFormat="1" x14ac:dyDescent="0.2"/>
    <row r="2219" s="273" customFormat="1" x14ac:dyDescent="0.2"/>
    <row r="2220" s="273" customFormat="1" x14ac:dyDescent="0.2"/>
    <row r="2221" s="273" customFormat="1" x14ac:dyDescent="0.2"/>
    <row r="2222" s="273" customFormat="1" x14ac:dyDescent="0.2"/>
    <row r="2223" s="273" customFormat="1" x14ac:dyDescent="0.2"/>
    <row r="2224" s="273" customFormat="1" x14ac:dyDescent="0.2"/>
    <row r="2225" s="273" customFormat="1" x14ac:dyDescent="0.2"/>
    <row r="2226" s="273" customFormat="1" x14ac:dyDescent="0.2"/>
    <row r="2227" s="273" customFormat="1" x14ac:dyDescent="0.2"/>
    <row r="2228" s="273" customFormat="1" x14ac:dyDescent="0.2"/>
    <row r="2229" s="273" customFormat="1" x14ac:dyDescent="0.2"/>
    <row r="2230" s="273" customFormat="1" x14ac:dyDescent="0.2"/>
    <row r="2231" s="273" customFormat="1" x14ac:dyDescent="0.2"/>
    <row r="2232" s="273" customFormat="1" x14ac:dyDescent="0.2"/>
    <row r="2233" s="273" customFormat="1" x14ac:dyDescent="0.2"/>
    <row r="2234" s="273" customFormat="1" x14ac:dyDescent="0.2"/>
    <row r="2235" s="273" customFormat="1" x14ac:dyDescent="0.2"/>
    <row r="2236" s="273" customFormat="1" x14ac:dyDescent="0.2"/>
    <row r="2237" s="273" customFormat="1" x14ac:dyDescent="0.2"/>
    <row r="2238" s="273" customFormat="1" x14ac:dyDescent="0.2"/>
    <row r="2239" s="273" customFormat="1" x14ac:dyDescent="0.2"/>
    <row r="2240" s="273" customFormat="1" x14ac:dyDescent="0.2"/>
    <row r="2241" s="273" customFormat="1" x14ac:dyDescent="0.2"/>
    <row r="2242" s="273" customFormat="1" x14ac:dyDescent="0.2"/>
    <row r="2243" s="273" customFormat="1" x14ac:dyDescent="0.2"/>
    <row r="2244" s="273" customFormat="1" x14ac:dyDescent="0.2"/>
    <row r="2245" s="273" customFormat="1" x14ac:dyDescent="0.2"/>
    <row r="2246" s="273" customFormat="1" x14ac:dyDescent="0.2"/>
    <row r="2247" s="273" customFormat="1" x14ac:dyDescent="0.2"/>
    <row r="2248" s="273" customFormat="1" x14ac:dyDescent="0.2"/>
    <row r="2249" s="273" customFormat="1" x14ac:dyDescent="0.2"/>
    <row r="2250" s="273" customFormat="1" x14ac:dyDescent="0.2"/>
    <row r="2251" s="273" customFormat="1" x14ac:dyDescent="0.2"/>
    <row r="2252" s="273" customFormat="1" x14ac:dyDescent="0.2"/>
    <row r="2253" s="273" customFormat="1" x14ac:dyDescent="0.2"/>
    <row r="2254" s="273" customFormat="1" x14ac:dyDescent="0.2"/>
    <row r="2255" s="273" customFormat="1" x14ac:dyDescent="0.2"/>
    <row r="2256" s="273" customFormat="1" x14ac:dyDescent="0.2"/>
    <row r="2257" s="273" customFormat="1" x14ac:dyDescent="0.2"/>
    <row r="2258" s="273" customFormat="1" x14ac:dyDescent="0.2"/>
    <row r="2259" s="273" customFormat="1" x14ac:dyDescent="0.2"/>
    <row r="2260" s="273" customFormat="1" x14ac:dyDescent="0.2"/>
    <row r="2261" s="273" customFormat="1" x14ac:dyDescent="0.2"/>
    <row r="2262" s="273" customFormat="1" x14ac:dyDescent="0.2"/>
    <row r="2263" s="273" customFormat="1" x14ac:dyDescent="0.2"/>
    <row r="2264" s="273" customFormat="1" x14ac:dyDescent="0.2"/>
    <row r="2265" s="273" customFormat="1" x14ac:dyDescent="0.2"/>
    <row r="2266" s="273" customFormat="1" x14ac:dyDescent="0.2"/>
    <row r="2267" s="273" customFormat="1" x14ac:dyDescent="0.2"/>
    <row r="2268" s="273" customFormat="1" x14ac:dyDescent="0.2"/>
    <row r="2269" s="273" customFormat="1" x14ac:dyDescent="0.2"/>
    <row r="2270" s="273" customFormat="1" x14ac:dyDescent="0.2"/>
    <row r="2271" s="273" customFormat="1" x14ac:dyDescent="0.2"/>
    <row r="2272" s="273" customFormat="1" x14ac:dyDescent="0.2"/>
    <row r="2273" s="273" customFormat="1" x14ac:dyDescent="0.2"/>
    <row r="2274" s="273" customFormat="1" x14ac:dyDescent="0.2"/>
    <row r="2275" s="273" customFormat="1" x14ac:dyDescent="0.2"/>
    <row r="2276" s="273" customFormat="1" x14ac:dyDescent="0.2"/>
    <row r="2277" s="273" customFormat="1" x14ac:dyDescent="0.2"/>
    <row r="2278" s="273" customFormat="1" x14ac:dyDescent="0.2"/>
    <row r="2279" s="273" customFormat="1" x14ac:dyDescent="0.2"/>
    <row r="2280" s="273" customFormat="1" x14ac:dyDescent="0.2"/>
    <row r="2281" s="273" customFormat="1" x14ac:dyDescent="0.2"/>
    <row r="2282" s="273" customFormat="1" x14ac:dyDescent="0.2"/>
    <row r="2283" s="273" customFormat="1" x14ac:dyDescent="0.2"/>
    <row r="2284" s="273" customFormat="1" x14ac:dyDescent="0.2"/>
    <row r="2285" s="273" customFormat="1" x14ac:dyDescent="0.2"/>
    <row r="2286" s="273" customFormat="1" x14ac:dyDescent="0.2"/>
    <row r="2287" s="273" customFormat="1" x14ac:dyDescent="0.2"/>
  </sheetData>
  <printOptions horizontalCentered="1"/>
  <pageMargins left="0.35433070866141736" right="0.35433070866141736" top="0.78740157480314965" bottom="0.78740157480314965" header="0.51181102362204722" footer="0.5118110236220472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8"/>
  <sheetViews>
    <sheetView topLeftCell="A22" workbookViewId="0">
      <selection activeCell="E23" sqref="E23"/>
    </sheetView>
  </sheetViews>
  <sheetFormatPr defaultColWidth="26.5703125" defaultRowHeight="12.75" x14ac:dyDescent="0.2"/>
  <cols>
    <col min="1" max="1" width="26.5703125" style="110" customWidth="1"/>
    <col min="2" max="3" width="9.140625" style="110" customWidth="1"/>
    <col min="4" max="5" width="17.28515625" style="110" customWidth="1"/>
    <col min="6" max="6" width="15.5703125" style="110" customWidth="1"/>
    <col min="7" max="255" width="9.140625" style="110" customWidth="1"/>
    <col min="256" max="16384" width="26.5703125" style="110"/>
  </cols>
  <sheetData>
    <row r="1" spans="1:8" ht="21" x14ac:dyDescent="0.35">
      <c r="A1" s="147" t="s">
        <v>168</v>
      </c>
      <c r="B1" s="148"/>
      <c r="C1" s="148"/>
      <c r="D1" s="148"/>
      <c r="E1" s="108"/>
      <c r="F1" s="148"/>
      <c r="G1" s="149"/>
      <c r="H1" s="109"/>
    </row>
    <row r="2" spans="1:8" ht="21" x14ac:dyDescent="0.35">
      <c r="A2" s="147"/>
      <c r="B2" s="148"/>
      <c r="C2" s="148"/>
      <c r="D2" s="148"/>
      <c r="E2" s="108"/>
      <c r="F2" s="148"/>
      <c r="G2" s="149"/>
      <c r="H2" s="109"/>
    </row>
    <row r="3" spans="1:8" ht="18.75" x14ac:dyDescent="0.2">
      <c r="A3" s="150"/>
      <c r="B3" s="150"/>
      <c r="C3" s="150"/>
      <c r="D3" s="150"/>
      <c r="E3" s="151" t="s">
        <v>169</v>
      </c>
      <c r="F3" s="152"/>
      <c r="G3" s="149"/>
    </row>
    <row r="4" spans="1:8" x14ac:dyDescent="0.2">
      <c r="A4" s="111" t="s">
        <v>170</v>
      </c>
      <c r="B4" s="403" t="s">
        <v>449</v>
      </c>
      <c r="C4" s="404"/>
      <c r="D4" s="405"/>
      <c r="E4" s="111" t="s">
        <v>171</v>
      </c>
      <c r="F4" s="112">
        <f ca="1">NOW()</f>
        <v>43939.539430208337</v>
      </c>
    </row>
    <row r="5" spans="1:8" x14ac:dyDescent="0.2">
      <c r="A5" s="111" t="s">
        <v>172</v>
      </c>
      <c r="B5" s="406"/>
      <c r="C5" s="407"/>
      <c r="D5" s="408"/>
      <c r="E5" s="111" t="s">
        <v>36</v>
      </c>
      <c r="F5" s="113"/>
    </row>
    <row r="6" spans="1:8" x14ac:dyDescent="0.2">
      <c r="A6" s="111"/>
      <c r="B6" s="153"/>
      <c r="C6" s="153"/>
      <c r="D6" s="153"/>
      <c r="E6" s="154"/>
      <c r="F6" s="155"/>
    </row>
    <row r="7" spans="1:8" x14ac:dyDescent="0.2">
      <c r="A7" s="114"/>
      <c r="B7" s="114"/>
      <c r="C7" s="114"/>
      <c r="D7" s="114"/>
      <c r="E7" s="114"/>
      <c r="F7" s="114"/>
    </row>
    <row r="8" spans="1:8" x14ac:dyDescent="0.2">
      <c r="A8" s="115" t="s">
        <v>173</v>
      </c>
      <c r="B8" s="115"/>
      <c r="C8" s="115"/>
      <c r="D8" s="115"/>
      <c r="E8" s="116" t="s">
        <v>174</v>
      </c>
      <c r="F8" s="116" t="s">
        <v>174</v>
      </c>
    </row>
    <row r="9" spans="1:8" x14ac:dyDescent="0.2">
      <c r="A9" s="114"/>
      <c r="B9" s="114"/>
      <c r="C9" s="114"/>
      <c r="D9" s="114"/>
      <c r="E9" s="117"/>
      <c r="F9" s="117"/>
    </row>
    <row r="10" spans="1:8" x14ac:dyDescent="0.2">
      <c r="A10" s="118" t="s">
        <v>175</v>
      </c>
      <c r="B10" s="114"/>
      <c r="C10" s="114"/>
      <c r="D10" s="114"/>
      <c r="E10" s="119"/>
      <c r="F10" s="120">
        <v>0</v>
      </c>
    </row>
    <row r="11" spans="1:8" x14ac:dyDescent="0.2">
      <c r="A11" s="118"/>
      <c r="B11" s="114"/>
      <c r="C11" s="114"/>
      <c r="D11" s="114"/>
      <c r="E11" s="119"/>
      <c r="F11" s="121"/>
    </row>
    <row r="12" spans="1:8" x14ac:dyDescent="0.2">
      <c r="A12" s="122" t="s">
        <v>176</v>
      </c>
      <c r="B12" s="114"/>
      <c r="C12" s="114"/>
      <c r="D12" s="114"/>
      <c r="E12" s="119"/>
      <c r="F12" s="121"/>
    </row>
    <row r="13" spans="1:8" x14ac:dyDescent="0.2">
      <c r="A13" s="114"/>
      <c r="B13" s="114" t="s">
        <v>203</v>
      </c>
      <c r="C13" s="114"/>
      <c r="D13" s="114"/>
      <c r="E13" s="120">
        <v>0</v>
      </c>
      <c r="F13" s="121"/>
    </row>
    <row r="14" spans="1:8" x14ac:dyDescent="0.2">
      <c r="A14" s="114"/>
      <c r="B14" s="114" t="s">
        <v>218</v>
      </c>
      <c r="C14" s="114"/>
      <c r="D14" s="114"/>
      <c r="E14" s="120"/>
      <c r="F14" s="114"/>
    </row>
    <row r="15" spans="1:8" x14ac:dyDescent="0.2">
      <c r="A15" s="114"/>
      <c r="B15" s="114" t="s">
        <v>219</v>
      </c>
      <c r="C15" s="114"/>
      <c r="D15" s="114"/>
      <c r="E15" s="120">
        <v>0</v>
      </c>
      <c r="F15" s="125" t="s">
        <v>206</v>
      </c>
      <c r="G15" s="123"/>
      <c r="H15" s="110" t="s">
        <v>207</v>
      </c>
    </row>
    <row r="16" spans="1:8" x14ac:dyDescent="0.2">
      <c r="A16" s="114"/>
      <c r="B16" s="114" t="s">
        <v>215</v>
      </c>
      <c r="C16" s="114"/>
      <c r="D16" s="114"/>
      <c r="E16" s="120">
        <v>0</v>
      </c>
      <c r="F16" s="125" t="s">
        <v>206</v>
      </c>
      <c r="G16" s="123"/>
    </row>
    <row r="17" spans="1:7" x14ac:dyDescent="0.2">
      <c r="A17" s="114"/>
      <c r="B17" s="114" t="s">
        <v>208</v>
      </c>
      <c r="C17" s="114"/>
      <c r="D17" s="114"/>
      <c r="E17" s="120"/>
      <c r="F17" s="121"/>
      <c r="G17" s="123"/>
    </row>
    <row r="18" spans="1:7" x14ac:dyDescent="0.2">
      <c r="A18" s="118"/>
      <c r="B18" s="114" t="s">
        <v>209</v>
      </c>
      <c r="C18" s="114"/>
      <c r="D18" s="114"/>
      <c r="E18" s="120">
        <v>0</v>
      </c>
      <c r="F18" s="121"/>
      <c r="G18" s="123"/>
    </row>
    <row r="19" spans="1:7" x14ac:dyDescent="0.2">
      <c r="A19" s="118"/>
      <c r="B19" s="114" t="s">
        <v>210</v>
      </c>
      <c r="C19" s="114"/>
      <c r="D19" s="114"/>
      <c r="E19" s="120"/>
      <c r="F19" s="121"/>
      <c r="G19" s="123"/>
    </row>
    <row r="20" spans="1:7" x14ac:dyDescent="0.2">
      <c r="A20" s="118"/>
      <c r="B20" s="114" t="s">
        <v>177</v>
      </c>
      <c r="C20" s="114"/>
      <c r="D20" s="114"/>
      <c r="E20" s="120"/>
      <c r="F20" s="121"/>
      <c r="G20" s="123"/>
    </row>
    <row r="21" spans="1:7" x14ac:dyDescent="0.2">
      <c r="A21" s="118"/>
      <c r="B21" s="114" t="s">
        <v>180</v>
      </c>
      <c r="C21" s="114"/>
      <c r="D21" s="114"/>
      <c r="E21" s="120"/>
      <c r="F21" s="121"/>
      <c r="G21" s="123"/>
    </row>
    <row r="22" spans="1:7" x14ac:dyDescent="0.2">
      <c r="A22" s="118"/>
      <c r="B22" s="114" t="s">
        <v>178</v>
      </c>
      <c r="C22" s="114"/>
      <c r="D22" s="114"/>
      <c r="E22" s="120"/>
      <c r="F22" s="121"/>
    </row>
    <row r="23" spans="1:7" x14ac:dyDescent="0.2">
      <c r="A23" s="118"/>
      <c r="B23" s="114" t="s">
        <v>211</v>
      </c>
      <c r="C23" s="114"/>
      <c r="D23" s="114"/>
      <c r="E23" s="120"/>
      <c r="F23" s="121"/>
    </row>
    <row r="24" spans="1:7" x14ac:dyDescent="0.2">
      <c r="A24" s="118"/>
      <c r="B24" s="114" t="s">
        <v>212</v>
      </c>
      <c r="C24" s="114"/>
      <c r="D24" s="114"/>
      <c r="E24" s="120"/>
      <c r="F24" s="121"/>
    </row>
    <row r="25" spans="1:7" x14ac:dyDescent="0.2">
      <c r="A25" s="118"/>
      <c r="B25" s="114" t="s">
        <v>213</v>
      </c>
      <c r="C25" s="114"/>
      <c r="D25" s="114"/>
      <c r="E25" s="120"/>
      <c r="F25" s="121"/>
    </row>
    <row r="26" spans="1:7" x14ac:dyDescent="0.2">
      <c r="A26" s="118"/>
      <c r="B26" s="114" t="s">
        <v>59</v>
      </c>
      <c r="C26" s="114"/>
      <c r="D26" s="114"/>
      <c r="E26" s="120">
        <v>0</v>
      </c>
      <c r="F26" s="121"/>
    </row>
    <row r="27" spans="1:7" x14ac:dyDescent="0.2">
      <c r="A27" s="118"/>
      <c r="B27" s="114"/>
      <c r="C27" s="114"/>
      <c r="D27" s="114"/>
      <c r="E27" s="124"/>
      <c r="F27" s="119">
        <f>SUM(E13:E27)</f>
        <v>0</v>
      </c>
    </row>
    <row r="28" spans="1:7" x14ac:dyDescent="0.2">
      <c r="A28" s="118"/>
      <c r="B28" s="114"/>
      <c r="C28" s="114"/>
      <c r="D28" s="114"/>
      <c r="E28" s="121"/>
      <c r="F28" s="121"/>
    </row>
    <row r="29" spans="1:7" x14ac:dyDescent="0.2">
      <c r="A29" s="122" t="s">
        <v>179</v>
      </c>
      <c r="B29" s="114"/>
      <c r="C29" s="114"/>
      <c r="D29" s="114"/>
      <c r="E29" s="121"/>
      <c r="F29" s="121"/>
    </row>
    <row r="30" spans="1:7" x14ac:dyDescent="0.2">
      <c r="A30" s="118"/>
      <c r="B30" s="114" t="s">
        <v>214</v>
      </c>
      <c r="C30" s="114"/>
      <c r="D30" s="114"/>
      <c r="E30" s="120">
        <f>+E13</f>
        <v>0</v>
      </c>
      <c r="F30" s="121"/>
    </row>
    <row r="31" spans="1:7" x14ac:dyDescent="0.2">
      <c r="A31" s="118"/>
      <c r="B31" s="114" t="s">
        <v>204</v>
      </c>
      <c r="C31" s="114"/>
      <c r="D31" s="114"/>
      <c r="E31" s="120">
        <v>0</v>
      </c>
    </row>
    <row r="32" spans="1:7" x14ac:dyDescent="0.2">
      <c r="A32" s="118"/>
      <c r="B32" s="114" t="s">
        <v>205</v>
      </c>
      <c r="C32" s="114"/>
      <c r="D32" s="114"/>
      <c r="E32" s="120">
        <v>0</v>
      </c>
      <c r="F32" s="125" t="s">
        <v>206</v>
      </c>
    </row>
    <row r="33" spans="1:6" x14ac:dyDescent="0.2">
      <c r="A33" s="118"/>
      <c r="B33" s="114" t="s">
        <v>220</v>
      </c>
      <c r="C33" s="114"/>
      <c r="D33" s="114"/>
      <c r="E33" s="120">
        <v>0</v>
      </c>
      <c r="F33" s="125" t="s">
        <v>206</v>
      </c>
    </row>
    <row r="34" spans="1:6" x14ac:dyDescent="0.2">
      <c r="A34" s="118"/>
      <c r="B34" s="114" t="s">
        <v>216</v>
      </c>
      <c r="C34" s="114"/>
      <c r="D34" s="114"/>
      <c r="E34" s="120"/>
      <c r="F34" s="126"/>
    </row>
    <row r="35" spans="1:6" x14ac:dyDescent="0.2">
      <c r="A35" s="118"/>
      <c r="B35" s="114" t="s">
        <v>181</v>
      </c>
      <c r="C35" s="114"/>
      <c r="D35" s="114"/>
      <c r="E35" s="120"/>
      <c r="F35" s="125"/>
    </row>
    <row r="36" spans="1:6" x14ac:dyDescent="0.2">
      <c r="A36" s="118"/>
      <c r="B36" s="114" t="s">
        <v>182</v>
      </c>
      <c r="C36" s="114"/>
      <c r="D36" s="114"/>
      <c r="E36" s="120"/>
      <c r="F36" s="125"/>
    </row>
    <row r="37" spans="1:6" x14ac:dyDescent="0.2">
      <c r="A37" s="118"/>
      <c r="B37" s="114"/>
      <c r="C37" s="114"/>
      <c r="D37" s="114"/>
      <c r="E37" s="120"/>
      <c r="F37" s="125"/>
    </row>
    <row r="38" spans="1:6" x14ac:dyDescent="0.2">
      <c r="A38" s="114"/>
      <c r="C38" s="114"/>
      <c r="D38" s="114"/>
      <c r="E38" s="124"/>
      <c r="F38" s="119">
        <f>SUM(E30:E38)</f>
        <v>0</v>
      </c>
    </row>
    <row r="39" spans="1:6" x14ac:dyDescent="0.2">
      <c r="A39" s="114"/>
      <c r="C39" s="114"/>
      <c r="D39" s="114"/>
      <c r="E39" s="127"/>
      <c r="F39" s="119"/>
    </row>
    <row r="40" spans="1:6" x14ac:dyDescent="0.2">
      <c r="A40" s="118" t="s">
        <v>183</v>
      </c>
      <c r="B40" s="114"/>
      <c r="C40" s="114"/>
      <c r="D40" s="114"/>
      <c r="E40" s="119"/>
      <c r="F40" s="120">
        <v>0</v>
      </c>
    </row>
    <row r="41" spans="1:6" x14ac:dyDescent="0.2">
      <c r="A41" s="118"/>
      <c r="B41" s="114"/>
      <c r="C41" s="114"/>
      <c r="D41" s="114"/>
      <c r="E41" s="119"/>
      <c r="F41" s="121"/>
    </row>
    <row r="42" spans="1:6" x14ac:dyDescent="0.2">
      <c r="A42" s="128" t="s">
        <v>184</v>
      </c>
      <c r="B42" s="114"/>
      <c r="C42" s="114"/>
      <c r="D42" s="114"/>
      <c r="E42" s="119"/>
      <c r="F42" s="121">
        <f>F10+F27-F38-F40</f>
        <v>0</v>
      </c>
    </row>
    <row r="43" spans="1:6" x14ac:dyDescent="0.2">
      <c r="A43" s="128"/>
      <c r="B43" s="114"/>
      <c r="C43" s="114"/>
      <c r="D43" s="114"/>
      <c r="E43" s="119"/>
      <c r="F43" s="121"/>
    </row>
    <row r="44" spans="1:6" x14ac:dyDescent="0.2">
      <c r="A44" s="114" t="s">
        <v>185</v>
      </c>
      <c r="B44" s="114"/>
      <c r="C44" s="114"/>
      <c r="D44" s="114"/>
      <c r="E44" s="119"/>
      <c r="F44" s="120"/>
    </row>
    <row r="45" spans="1:6" x14ac:dyDescent="0.2">
      <c r="A45" s="118"/>
      <c r="B45" s="114"/>
      <c r="C45" s="114"/>
      <c r="D45" s="114"/>
      <c r="E45" s="119"/>
      <c r="F45" s="121"/>
    </row>
    <row r="46" spans="1:6" x14ac:dyDescent="0.2">
      <c r="A46" s="128" t="s">
        <v>217</v>
      </c>
      <c r="B46" s="114"/>
      <c r="C46" s="114"/>
      <c r="D46" s="114"/>
      <c r="E46" s="119"/>
      <c r="F46" s="121"/>
    </row>
    <row r="47" spans="1:6" x14ac:dyDescent="0.2">
      <c r="A47" s="118"/>
      <c r="B47" s="114"/>
      <c r="C47" s="114"/>
      <c r="D47" s="114"/>
      <c r="E47" s="119"/>
      <c r="F47" s="121"/>
    </row>
    <row r="49" spans="1:6" x14ac:dyDescent="0.2">
      <c r="A49" s="143" t="s">
        <v>194</v>
      </c>
    </row>
    <row r="50" spans="1:6" x14ac:dyDescent="0.2">
      <c r="E50" s="146">
        <v>0.5</v>
      </c>
      <c r="F50" s="144">
        <f>+F42*E50</f>
        <v>0</v>
      </c>
    </row>
    <row r="51" spans="1:6" x14ac:dyDescent="0.2">
      <c r="E51" s="146">
        <v>0.5</v>
      </c>
      <c r="F51" s="144">
        <f>+F50</f>
        <v>0</v>
      </c>
    </row>
    <row r="52" spans="1:6" ht="13.5" thickBot="1" x14ac:dyDescent="0.25">
      <c r="F52" s="145">
        <f>SUM(F50:F51)</f>
        <v>0</v>
      </c>
    </row>
    <row r="53" spans="1:6" ht="13.5" thickTop="1" x14ac:dyDescent="0.2"/>
    <row r="55" spans="1:6" x14ac:dyDescent="0.2">
      <c r="A55" s="114"/>
      <c r="B55" s="159"/>
      <c r="C55" s="159"/>
      <c r="D55" s="158"/>
      <c r="E55" s="114"/>
      <c r="F55" s="114"/>
    </row>
    <row r="56" spans="1:6" x14ac:dyDescent="0.2">
      <c r="A56" s="114"/>
      <c r="B56" s="159"/>
      <c r="C56" s="159"/>
      <c r="D56" s="158"/>
      <c r="E56" s="114"/>
      <c r="F56" s="114"/>
    </row>
    <row r="57" spans="1:6" x14ac:dyDescent="0.2">
      <c r="A57" s="114"/>
      <c r="B57" s="159"/>
      <c r="C57" s="159"/>
      <c r="D57" s="158"/>
      <c r="E57" s="114"/>
      <c r="F57" s="114"/>
    </row>
    <row r="58" spans="1:6" x14ac:dyDescent="0.2">
      <c r="A58" s="114"/>
      <c r="B58" s="159"/>
      <c r="C58" s="159"/>
      <c r="D58" s="158"/>
      <c r="E58" s="114"/>
      <c r="F58" s="114"/>
    </row>
    <row r="59" spans="1:6" x14ac:dyDescent="0.2">
      <c r="A59" s="114"/>
      <c r="B59" s="159"/>
      <c r="C59" s="159"/>
      <c r="D59" s="158"/>
      <c r="E59" s="114"/>
      <c r="F59" s="114"/>
    </row>
    <row r="60" spans="1:6" x14ac:dyDescent="0.2">
      <c r="A60" s="114"/>
      <c r="B60" s="159"/>
      <c r="C60" s="159"/>
      <c r="D60" s="158"/>
      <c r="E60" s="114"/>
      <c r="F60" s="114"/>
    </row>
    <row r="61" spans="1:6" x14ac:dyDescent="0.2">
      <c r="A61" s="118"/>
      <c r="B61" s="160"/>
      <c r="C61" s="160"/>
      <c r="D61" s="161"/>
      <c r="E61" s="114"/>
      <c r="F61" s="114"/>
    </row>
    <row r="62" spans="1:6" x14ac:dyDescent="0.2">
      <c r="A62" s="114"/>
      <c r="B62" s="162"/>
      <c r="C62" s="114"/>
      <c r="D62" s="158"/>
      <c r="E62" s="114"/>
      <c r="F62" s="114"/>
    </row>
    <row r="63" spans="1:6" x14ac:dyDescent="0.2">
      <c r="A63" s="114"/>
      <c r="B63" s="163"/>
      <c r="C63" s="118"/>
      <c r="D63" s="118"/>
      <c r="E63" s="114"/>
      <c r="F63" s="114"/>
    </row>
    <row r="64" spans="1:6" x14ac:dyDescent="0.2">
      <c r="A64" s="114"/>
      <c r="B64" s="114"/>
      <c r="C64" s="114"/>
      <c r="D64" s="114"/>
      <c r="E64" s="114"/>
      <c r="F64" s="114"/>
    </row>
    <row r="65" spans="1:6" x14ac:dyDescent="0.2">
      <c r="A65" s="114"/>
      <c r="B65" s="114"/>
      <c r="C65" s="114"/>
      <c r="D65" s="114"/>
      <c r="E65" s="114"/>
      <c r="F65" s="114"/>
    </row>
    <row r="66" spans="1:6" x14ac:dyDescent="0.2">
      <c r="A66" s="114"/>
      <c r="B66" s="114"/>
      <c r="C66" s="114"/>
      <c r="D66" s="114"/>
      <c r="E66" s="114"/>
      <c r="F66" s="114"/>
    </row>
    <row r="67" spans="1:6" x14ac:dyDescent="0.2">
      <c r="A67" s="114"/>
      <c r="B67" s="114"/>
      <c r="C67" s="114"/>
      <c r="D67" s="114"/>
      <c r="E67" s="114"/>
      <c r="F67" s="114"/>
    </row>
    <row r="68" spans="1:6" x14ac:dyDescent="0.2">
      <c r="A68" s="114"/>
      <c r="B68" s="114"/>
      <c r="C68" s="114"/>
      <c r="D68" s="114"/>
      <c r="E68" s="114"/>
      <c r="F68" s="114"/>
    </row>
  </sheetData>
  <mergeCells count="2">
    <mergeCell ref="B4:D4"/>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8"/>
  <sheetViews>
    <sheetView topLeftCell="A40" workbookViewId="0">
      <selection activeCell="J68" sqref="J68"/>
    </sheetView>
  </sheetViews>
  <sheetFormatPr defaultColWidth="26.5703125" defaultRowHeight="12.75" x14ac:dyDescent="0.2"/>
  <cols>
    <col min="1" max="1" width="26.5703125" style="110" customWidth="1"/>
    <col min="2" max="3" width="9.140625" style="110" customWidth="1"/>
    <col min="4" max="5" width="17.28515625" style="110" customWidth="1"/>
    <col min="6" max="6" width="15.5703125" style="110" customWidth="1"/>
    <col min="7" max="255" width="9.140625" style="110" customWidth="1"/>
    <col min="256" max="16384" width="26.5703125" style="110"/>
  </cols>
  <sheetData>
    <row r="1" spans="1:8" ht="21" x14ac:dyDescent="0.35">
      <c r="A1" s="147" t="s">
        <v>168</v>
      </c>
      <c r="B1" s="148"/>
      <c r="C1" s="148"/>
      <c r="D1" s="148"/>
      <c r="E1" s="108"/>
      <c r="F1" s="148"/>
      <c r="G1" s="149"/>
      <c r="H1" s="109"/>
    </row>
    <row r="2" spans="1:8" ht="21" x14ac:dyDescent="0.35">
      <c r="A2" s="147"/>
      <c r="B2" s="148"/>
      <c r="C2" s="148"/>
      <c r="D2" s="148"/>
      <c r="E2" s="108"/>
      <c r="F2" s="148"/>
      <c r="G2" s="149"/>
      <c r="H2" s="109"/>
    </row>
    <row r="3" spans="1:8" ht="18.75" x14ac:dyDescent="0.2">
      <c r="A3" s="150"/>
      <c r="B3" s="150"/>
      <c r="C3" s="150"/>
      <c r="D3" s="150"/>
      <c r="E3" s="151" t="s">
        <v>169</v>
      </c>
      <c r="F3" s="152"/>
      <c r="G3" s="149"/>
    </row>
    <row r="4" spans="1:8" x14ac:dyDescent="0.2">
      <c r="A4" s="111" t="s">
        <v>170</v>
      </c>
      <c r="B4" s="403" t="s">
        <v>437</v>
      </c>
      <c r="C4" s="404"/>
      <c r="D4" s="405"/>
      <c r="E4" s="111" t="s">
        <v>171</v>
      </c>
      <c r="F4" s="112">
        <f ca="1">NOW()</f>
        <v>43939.539430208337</v>
      </c>
    </row>
    <row r="5" spans="1:8" x14ac:dyDescent="0.2">
      <c r="A5" s="111" t="s">
        <v>172</v>
      </c>
      <c r="B5" s="406"/>
      <c r="C5" s="407"/>
      <c r="D5" s="408"/>
      <c r="E5" s="111" t="s">
        <v>36</v>
      </c>
      <c r="F5" s="113"/>
    </row>
    <row r="6" spans="1:8" x14ac:dyDescent="0.2">
      <c r="A6" s="111"/>
      <c r="B6" s="153"/>
      <c r="C6" s="153"/>
      <c r="D6" s="153"/>
      <c r="E6" s="154"/>
      <c r="F6" s="155"/>
    </row>
    <row r="7" spans="1:8" x14ac:dyDescent="0.2">
      <c r="A7" s="114"/>
      <c r="B7" s="114"/>
      <c r="C7" s="114"/>
      <c r="D7" s="114"/>
      <c r="E7" s="114"/>
      <c r="F7" s="114"/>
    </row>
    <row r="8" spans="1:8" x14ac:dyDescent="0.2">
      <c r="A8" s="115" t="s">
        <v>173</v>
      </c>
      <c r="B8" s="115"/>
      <c r="C8" s="115"/>
      <c r="D8" s="115"/>
      <c r="E8" s="116" t="s">
        <v>174</v>
      </c>
      <c r="F8" s="116" t="s">
        <v>174</v>
      </c>
    </row>
    <row r="9" spans="1:8" x14ac:dyDescent="0.2">
      <c r="A9" s="114"/>
      <c r="B9" s="114"/>
      <c r="C9" s="114"/>
      <c r="D9" s="114"/>
      <c r="E9" s="117"/>
      <c r="F9" s="117"/>
    </row>
    <row r="10" spans="1:8" x14ac:dyDescent="0.2">
      <c r="A10" s="118" t="s">
        <v>175</v>
      </c>
      <c r="B10" s="114"/>
      <c r="C10" s="114"/>
      <c r="D10" s="114"/>
      <c r="E10" s="119"/>
      <c r="F10" s="120">
        <v>0</v>
      </c>
    </row>
    <row r="11" spans="1:8" x14ac:dyDescent="0.2">
      <c r="A11" s="118"/>
      <c r="B11" s="114"/>
      <c r="C11" s="114"/>
      <c r="D11" s="114"/>
      <c r="E11" s="119"/>
      <c r="F11" s="121"/>
    </row>
    <row r="12" spans="1:8" x14ac:dyDescent="0.2">
      <c r="A12" s="122" t="s">
        <v>176</v>
      </c>
      <c r="B12" s="114"/>
      <c r="C12" s="114"/>
      <c r="D12" s="114"/>
      <c r="E12" s="119"/>
      <c r="F12" s="121"/>
    </row>
    <row r="13" spans="1:8" x14ac:dyDescent="0.2">
      <c r="A13" s="114"/>
      <c r="B13" s="114" t="s">
        <v>203</v>
      </c>
      <c r="C13" s="114"/>
      <c r="D13" s="114"/>
      <c r="E13" s="120">
        <v>0</v>
      </c>
      <c r="F13" s="121"/>
    </row>
    <row r="14" spans="1:8" x14ac:dyDescent="0.2">
      <c r="A14" s="114"/>
      <c r="B14" s="114" t="s">
        <v>218</v>
      </c>
      <c r="C14" s="114"/>
      <c r="D14" s="114"/>
      <c r="E14" s="120"/>
      <c r="F14" s="114"/>
    </row>
    <row r="15" spans="1:8" x14ac:dyDescent="0.2">
      <c r="A15" s="114"/>
      <c r="B15" s="114" t="s">
        <v>219</v>
      </c>
      <c r="C15" s="114"/>
      <c r="D15" s="114"/>
      <c r="E15" s="120">
        <v>0</v>
      </c>
      <c r="F15" s="125" t="s">
        <v>206</v>
      </c>
      <c r="G15" s="123"/>
      <c r="H15" s="110" t="s">
        <v>207</v>
      </c>
    </row>
    <row r="16" spans="1:8" x14ac:dyDescent="0.2">
      <c r="A16" s="114"/>
      <c r="B16" s="114" t="s">
        <v>215</v>
      </c>
      <c r="C16" s="114"/>
      <c r="D16" s="114"/>
      <c r="E16" s="120">
        <v>0</v>
      </c>
      <c r="F16" s="125" t="s">
        <v>206</v>
      </c>
      <c r="G16" s="123"/>
    </row>
    <row r="17" spans="1:7" x14ac:dyDescent="0.2">
      <c r="A17" s="114"/>
      <c r="B17" s="114" t="s">
        <v>208</v>
      </c>
      <c r="C17" s="114"/>
      <c r="D17" s="114"/>
      <c r="E17" s="120"/>
      <c r="F17" s="121"/>
      <c r="G17" s="123"/>
    </row>
    <row r="18" spans="1:7" x14ac:dyDescent="0.2">
      <c r="A18" s="118"/>
      <c r="B18" s="114" t="s">
        <v>209</v>
      </c>
      <c r="C18" s="114"/>
      <c r="D18" s="114"/>
      <c r="E18" s="120">
        <v>0</v>
      </c>
      <c r="F18" s="121"/>
      <c r="G18" s="123"/>
    </row>
    <row r="19" spans="1:7" x14ac:dyDescent="0.2">
      <c r="A19" s="118"/>
      <c r="B19" s="114" t="s">
        <v>210</v>
      </c>
      <c r="C19" s="114"/>
      <c r="D19" s="114"/>
      <c r="E19" s="120"/>
      <c r="F19" s="121"/>
      <c r="G19" s="123"/>
    </row>
    <row r="20" spans="1:7" x14ac:dyDescent="0.2">
      <c r="A20" s="118"/>
      <c r="B20" s="114" t="s">
        <v>177</v>
      </c>
      <c r="C20" s="114"/>
      <c r="D20" s="114"/>
      <c r="E20" s="120"/>
      <c r="F20" s="121"/>
      <c r="G20" s="123"/>
    </row>
    <row r="21" spans="1:7" x14ac:dyDescent="0.2">
      <c r="A21" s="118"/>
      <c r="B21" s="114" t="s">
        <v>180</v>
      </c>
      <c r="C21" s="114"/>
      <c r="D21" s="114"/>
      <c r="E21" s="120"/>
      <c r="F21" s="121"/>
      <c r="G21" s="123"/>
    </row>
    <row r="22" spans="1:7" x14ac:dyDescent="0.2">
      <c r="A22" s="118"/>
      <c r="B22" s="114" t="s">
        <v>178</v>
      </c>
      <c r="C22" s="114"/>
      <c r="D22" s="114"/>
      <c r="E22" s="120"/>
      <c r="F22" s="121"/>
    </row>
    <row r="23" spans="1:7" x14ac:dyDescent="0.2">
      <c r="A23" s="118"/>
      <c r="B23" s="114" t="s">
        <v>211</v>
      </c>
      <c r="C23" s="114"/>
      <c r="D23" s="114"/>
      <c r="E23" s="120"/>
      <c r="F23" s="121"/>
    </row>
    <row r="24" spans="1:7" x14ac:dyDescent="0.2">
      <c r="A24" s="118"/>
      <c r="B24" s="114" t="s">
        <v>212</v>
      </c>
      <c r="C24" s="114"/>
      <c r="D24" s="114"/>
      <c r="E24" s="120"/>
      <c r="F24" s="121"/>
    </row>
    <row r="25" spans="1:7" x14ac:dyDescent="0.2">
      <c r="A25" s="118"/>
      <c r="B25" s="114" t="s">
        <v>213</v>
      </c>
      <c r="C25" s="114"/>
      <c r="D25" s="114"/>
      <c r="E25" s="120"/>
      <c r="F25" s="121"/>
    </row>
    <row r="26" spans="1:7" x14ac:dyDescent="0.2">
      <c r="A26" s="118"/>
      <c r="B26" s="114" t="s">
        <v>59</v>
      </c>
      <c r="C26" s="114"/>
      <c r="D26" s="114"/>
      <c r="E26" s="120">
        <v>0</v>
      </c>
      <c r="F26" s="121"/>
    </row>
    <row r="27" spans="1:7" x14ac:dyDescent="0.2">
      <c r="A27" s="118"/>
      <c r="B27" s="114"/>
      <c r="C27" s="114"/>
      <c r="D27" s="114"/>
      <c r="E27" s="124"/>
      <c r="F27" s="119">
        <f>SUM(E13:E27)</f>
        <v>0</v>
      </c>
    </row>
    <row r="28" spans="1:7" x14ac:dyDescent="0.2">
      <c r="A28" s="118"/>
      <c r="B28" s="114"/>
      <c r="C28" s="114"/>
      <c r="D28" s="114"/>
      <c r="E28" s="121"/>
      <c r="F28" s="121"/>
    </row>
    <row r="29" spans="1:7" x14ac:dyDescent="0.2">
      <c r="A29" s="122" t="s">
        <v>179</v>
      </c>
      <c r="B29" s="114"/>
      <c r="C29" s="114"/>
      <c r="D29" s="114"/>
      <c r="E29" s="121"/>
      <c r="F29" s="121"/>
    </row>
    <row r="30" spans="1:7" x14ac:dyDescent="0.2">
      <c r="A30" s="118"/>
      <c r="B30" s="114" t="s">
        <v>214</v>
      </c>
      <c r="C30" s="114"/>
      <c r="D30" s="114"/>
      <c r="E30" s="120">
        <f>+E13</f>
        <v>0</v>
      </c>
      <c r="F30" s="121"/>
    </row>
    <row r="31" spans="1:7" x14ac:dyDescent="0.2">
      <c r="A31" s="118"/>
      <c r="B31" s="114" t="s">
        <v>204</v>
      </c>
      <c r="C31" s="114"/>
      <c r="D31" s="114"/>
      <c r="E31" s="120">
        <v>0</v>
      </c>
    </row>
    <row r="32" spans="1:7" x14ac:dyDescent="0.2">
      <c r="A32" s="118"/>
      <c r="B32" s="114" t="s">
        <v>205</v>
      </c>
      <c r="C32" s="114"/>
      <c r="D32" s="114"/>
      <c r="E32" s="120">
        <v>0</v>
      </c>
      <c r="F32" s="125" t="s">
        <v>206</v>
      </c>
    </row>
    <row r="33" spans="1:6" x14ac:dyDescent="0.2">
      <c r="A33" s="118"/>
      <c r="B33" s="114" t="s">
        <v>220</v>
      </c>
      <c r="C33" s="114"/>
      <c r="D33" s="114"/>
      <c r="E33" s="120">
        <v>0</v>
      </c>
      <c r="F33" s="125" t="s">
        <v>206</v>
      </c>
    </row>
    <row r="34" spans="1:6" x14ac:dyDescent="0.2">
      <c r="A34" s="118"/>
      <c r="B34" s="114" t="s">
        <v>216</v>
      </c>
      <c r="C34" s="114"/>
      <c r="D34" s="114"/>
      <c r="E34" s="120"/>
      <c r="F34" s="126"/>
    </row>
    <row r="35" spans="1:6" x14ac:dyDescent="0.2">
      <c r="A35" s="118"/>
      <c r="B35" s="114" t="s">
        <v>181</v>
      </c>
      <c r="C35" s="114"/>
      <c r="D35" s="114"/>
      <c r="E35" s="120"/>
      <c r="F35" s="125"/>
    </row>
    <row r="36" spans="1:6" x14ac:dyDescent="0.2">
      <c r="A36" s="118"/>
      <c r="B36" s="114" t="s">
        <v>182</v>
      </c>
      <c r="C36" s="114"/>
      <c r="D36" s="114"/>
      <c r="E36" s="120"/>
      <c r="F36" s="125"/>
    </row>
    <row r="37" spans="1:6" x14ac:dyDescent="0.2">
      <c r="A37" s="118"/>
      <c r="B37" s="114"/>
      <c r="C37" s="114"/>
      <c r="D37" s="114"/>
      <c r="E37" s="120"/>
      <c r="F37" s="125"/>
    </row>
    <row r="38" spans="1:6" x14ac:dyDescent="0.2">
      <c r="A38" s="114"/>
      <c r="C38" s="114"/>
      <c r="D38" s="114"/>
      <c r="E38" s="124"/>
      <c r="F38" s="119">
        <f>SUM(E30:E38)</f>
        <v>0</v>
      </c>
    </row>
    <row r="39" spans="1:6" x14ac:dyDescent="0.2">
      <c r="A39" s="114"/>
      <c r="C39" s="114"/>
      <c r="D39" s="114"/>
      <c r="E39" s="127"/>
      <c r="F39" s="119"/>
    </row>
    <row r="40" spans="1:6" x14ac:dyDescent="0.2">
      <c r="A40" s="118" t="s">
        <v>183</v>
      </c>
      <c r="B40" s="114"/>
      <c r="C40" s="114"/>
      <c r="D40" s="114"/>
      <c r="E40" s="119"/>
      <c r="F40" s="120">
        <v>0</v>
      </c>
    </row>
    <row r="41" spans="1:6" x14ac:dyDescent="0.2">
      <c r="A41" s="118"/>
      <c r="B41" s="114"/>
      <c r="C41" s="114"/>
      <c r="D41" s="114"/>
      <c r="E41" s="119"/>
      <c r="F41" s="121"/>
    </row>
    <row r="42" spans="1:6" x14ac:dyDescent="0.2">
      <c r="A42" s="128" t="s">
        <v>184</v>
      </c>
      <c r="B42" s="114"/>
      <c r="C42" s="114"/>
      <c r="D42" s="114"/>
      <c r="E42" s="119"/>
      <c r="F42" s="121">
        <f>F10+F27-F38-F40</f>
        <v>0</v>
      </c>
    </row>
    <row r="43" spans="1:6" x14ac:dyDescent="0.2">
      <c r="A43" s="128"/>
      <c r="B43" s="114"/>
      <c r="C43" s="114"/>
      <c r="D43" s="114"/>
      <c r="E43" s="119"/>
      <c r="F43" s="121"/>
    </row>
    <row r="44" spans="1:6" x14ac:dyDescent="0.2">
      <c r="A44" s="114" t="s">
        <v>185</v>
      </c>
      <c r="B44" s="114"/>
      <c r="C44" s="114"/>
      <c r="D44" s="114"/>
      <c r="E44" s="119"/>
      <c r="F44" s="120"/>
    </row>
    <row r="45" spans="1:6" x14ac:dyDescent="0.2">
      <c r="A45" s="118"/>
      <c r="B45" s="114"/>
      <c r="C45" s="114"/>
      <c r="D45" s="114"/>
      <c r="E45" s="119"/>
      <c r="F45" s="121"/>
    </row>
    <row r="46" spans="1:6" x14ac:dyDescent="0.2">
      <c r="A46" s="128" t="s">
        <v>217</v>
      </c>
      <c r="B46" s="114"/>
      <c r="C46" s="114"/>
      <c r="D46" s="114"/>
      <c r="E46" s="119"/>
      <c r="F46" s="121"/>
    </row>
    <row r="47" spans="1:6" x14ac:dyDescent="0.2">
      <c r="A47" s="118"/>
      <c r="B47" s="114"/>
      <c r="C47" s="114"/>
      <c r="D47" s="114"/>
      <c r="E47" s="119"/>
      <c r="F47" s="121"/>
    </row>
    <row r="48" spans="1:6" x14ac:dyDescent="0.2">
      <c r="A48" s="118"/>
      <c r="B48" s="114"/>
      <c r="C48" s="114"/>
      <c r="D48" s="114"/>
      <c r="E48" s="119"/>
      <c r="F48" s="121"/>
    </row>
    <row r="49" spans="1:6" x14ac:dyDescent="0.2">
      <c r="A49" s="128" t="s">
        <v>186</v>
      </c>
      <c r="B49" s="114"/>
      <c r="C49" s="114"/>
      <c r="D49" s="114"/>
      <c r="E49" s="119"/>
      <c r="F49" s="121"/>
    </row>
    <row r="50" spans="1:6" x14ac:dyDescent="0.2">
      <c r="B50" s="129" t="s">
        <v>187</v>
      </c>
      <c r="C50" s="114"/>
      <c r="D50" s="114"/>
      <c r="E50" s="130">
        <v>0.27500000000000002</v>
      </c>
      <c r="F50" s="131">
        <f>IF(F42&lt;=0,0,F42*E50)</f>
        <v>0</v>
      </c>
    </row>
    <row r="51" spans="1:6" x14ac:dyDescent="0.2">
      <c r="B51" s="114"/>
      <c r="C51" s="114"/>
      <c r="D51" s="114"/>
      <c r="E51" s="119"/>
      <c r="F51" s="132"/>
    </row>
    <row r="52" spans="1:6" x14ac:dyDescent="0.2">
      <c r="B52" s="114" t="s">
        <v>188</v>
      </c>
      <c r="C52" s="114"/>
      <c r="D52" s="114"/>
      <c r="E52" s="133"/>
      <c r="F52" s="132"/>
    </row>
    <row r="53" spans="1:6" x14ac:dyDescent="0.2">
      <c r="A53" s="118"/>
      <c r="B53" s="114" t="s">
        <v>189</v>
      </c>
      <c r="C53" s="114"/>
      <c r="D53" s="114"/>
      <c r="E53" s="133"/>
      <c r="F53" s="134"/>
    </row>
    <row r="54" spans="1:6" x14ac:dyDescent="0.2">
      <c r="A54" s="118"/>
      <c r="B54" s="114" t="s">
        <v>190</v>
      </c>
      <c r="C54" s="114"/>
      <c r="D54" s="114"/>
      <c r="E54" s="133"/>
      <c r="F54" s="132"/>
    </row>
    <row r="55" spans="1:6" x14ac:dyDescent="0.2">
      <c r="A55" s="118"/>
      <c r="B55" s="114" t="s">
        <v>191</v>
      </c>
      <c r="C55" s="114"/>
      <c r="D55" s="114"/>
      <c r="E55" s="135"/>
      <c r="F55" s="132"/>
    </row>
    <row r="56" spans="1:6" x14ac:dyDescent="0.2">
      <c r="A56" s="118"/>
      <c r="B56" s="114"/>
      <c r="C56" s="114"/>
      <c r="D56" s="114"/>
      <c r="E56" s="132"/>
      <c r="F56" s="132">
        <f>SUM(E52:E55)</f>
        <v>0</v>
      </c>
    </row>
    <row r="57" spans="1:6" x14ac:dyDescent="0.2">
      <c r="A57" s="118"/>
      <c r="B57" s="114"/>
      <c r="C57" s="114"/>
      <c r="D57" s="114"/>
      <c r="E57" s="132"/>
      <c r="F57" s="136"/>
    </row>
    <row r="58" spans="1:6" x14ac:dyDescent="0.2">
      <c r="A58" s="118" t="s">
        <v>192</v>
      </c>
      <c r="B58" s="114"/>
      <c r="C58" s="114"/>
      <c r="D58" s="114"/>
      <c r="E58" s="132"/>
      <c r="F58" s="136"/>
    </row>
    <row r="59" spans="1:6" x14ac:dyDescent="0.2">
      <c r="A59" s="118"/>
      <c r="B59" s="137">
        <v>43709</v>
      </c>
      <c r="C59" s="114"/>
      <c r="D59" s="114"/>
      <c r="E59" s="133">
        <v>0</v>
      </c>
      <c r="F59" s="136"/>
    </row>
    <row r="60" spans="1:6" x14ac:dyDescent="0.2">
      <c r="A60" s="118"/>
      <c r="B60" s="137">
        <v>43800</v>
      </c>
      <c r="C60" s="114"/>
      <c r="D60" s="114"/>
      <c r="E60" s="133">
        <v>0</v>
      </c>
      <c r="F60" s="136"/>
    </row>
    <row r="61" spans="1:6" x14ac:dyDescent="0.2">
      <c r="B61" s="137">
        <v>43891</v>
      </c>
      <c r="C61" s="114"/>
      <c r="D61" s="114"/>
      <c r="E61" s="133">
        <v>0</v>
      </c>
      <c r="F61" s="136"/>
    </row>
    <row r="62" spans="1:6" x14ac:dyDescent="0.2">
      <c r="A62" s="118"/>
      <c r="B62" s="137">
        <v>43983</v>
      </c>
      <c r="C62" s="114"/>
      <c r="D62" s="114"/>
      <c r="E62" s="135">
        <v>0</v>
      </c>
      <c r="F62" s="136"/>
    </row>
    <row r="63" spans="1:6" x14ac:dyDescent="0.2">
      <c r="A63" s="118"/>
      <c r="B63" s="137"/>
      <c r="C63" s="114"/>
      <c r="D63" s="114"/>
      <c r="E63" s="132"/>
      <c r="F63" s="132">
        <f>SUM(E59:E62)</f>
        <v>0</v>
      </c>
    </row>
    <row r="64" spans="1:6" x14ac:dyDescent="0.2">
      <c r="A64" s="118"/>
      <c r="B64" s="137"/>
      <c r="C64" s="114"/>
      <c r="D64" s="114"/>
      <c r="E64" s="132"/>
      <c r="F64" s="136"/>
    </row>
    <row r="65" spans="1:6" ht="13.5" thickBot="1" x14ac:dyDescent="0.25">
      <c r="A65" s="128" t="s">
        <v>193</v>
      </c>
      <c r="B65" s="137"/>
      <c r="C65" s="114"/>
      <c r="D65" s="114"/>
      <c r="E65" s="132"/>
      <c r="F65" s="138">
        <f>F50-F56-F63</f>
        <v>0</v>
      </c>
    </row>
    <row r="66" spans="1:6" ht="13.5" thickTop="1" x14ac:dyDescent="0.2">
      <c r="A66" s="118"/>
      <c r="B66" s="114"/>
      <c r="C66" s="114"/>
      <c r="D66" s="114"/>
      <c r="E66" s="119"/>
      <c r="F66" s="121"/>
    </row>
    <row r="67" spans="1:6" x14ac:dyDescent="0.2">
      <c r="A67" s="118"/>
      <c r="B67" s="114"/>
      <c r="C67" s="114"/>
      <c r="D67" s="114"/>
      <c r="E67" s="119"/>
      <c r="F67" s="121"/>
    </row>
    <row r="68" spans="1:6" x14ac:dyDescent="0.2">
      <c r="A68" s="118"/>
      <c r="B68" s="114"/>
      <c r="C68" s="114"/>
      <c r="D68" s="114"/>
      <c r="E68" s="119"/>
      <c r="F68" s="121"/>
    </row>
    <row r="69" spans="1:6" x14ac:dyDescent="0.2">
      <c r="A69" s="118"/>
      <c r="B69" s="114"/>
      <c r="C69" s="114"/>
      <c r="D69" s="114"/>
      <c r="E69" s="139"/>
      <c r="F69" s="140"/>
    </row>
    <row r="70" spans="1:6" x14ac:dyDescent="0.2">
      <c r="A70" s="118"/>
      <c r="B70" s="114"/>
      <c r="C70" s="114"/>
      <c r="D70" s="114"/>
      <c r="E70" s="141"/>
      <c r="F70" s="141"/>
    </row>
    <row r="71" spans="1:6" x14ac:dyDescent="0.2">
      <c r="A71" s="118"/>
      <c r="B71" s="114"/>
      <c r="C71" s="114"/>
      <c r="D71" s="114"/>
      <c r="E71" s="141"/>
      <c r="F71" s="141"/>
    </row>
    <row r="72" spans="1:6" x14ac:dyDescent="0.2">
      <c r="A72" s="114"/>
      <c r="B72" s="409"/>
      <c r="C72" s="409"/>
      <c r="D72" s="409"/>
      <c r="E72" s="142"/>
      <c r="F72" s="142"/>
    </row>
    <row r="73" spans="1:6" x14ac:dyDescent="0.2">
      <c r="A73" s="118"/>
      <c r="B73" s="156"/>
      <c r="C73" s="156"/>
      <c r="D73" s="156"/>
      <c r="E73" s="114"/>
      <c r="F73" s="114"/>
    </row>
    <row r="74" spans="1:6" x14ac:dyDescent="0.2">
      <c r="A74" s="114"/>
      <c r="B74" s="157"/>
      <c r="C74" s="114"/>
      <c r="D74" s="158"/>
      <c r="E74" s="114"/>
      <c r="F74" s="114"/>
    </row>
    <row r="75" spans="1:6" x14ac:dyDescent="0.2">
      <c r="A75" s="114"/>
      <c r="B75" s="159"/>
      <c r="C75" s="159"/>
      <c r="D75" s="158"/>
      <c r="E75" s="114"/>
      <c r="F75" s="114"/>
    </row>
    <row r="76" spans="1:6" x14ac:dyDescent="0.2">
      <c r="A76" s="114"/>
      <c r="B76" s="159"/>
      <c r="C76" s="159"/>
      <c r="D76" s="158"/>
      <c r="E76" s="114"/>
      <c r="F76" s="114"/>
    </row>
    <row r="77" spans="1:6" x14ac:dyDescent="0.2">
      <c r="A77" s="114"/>
      <c r="B77" s="159"/>
      <c r="C77" s="159"/>
      <c r="D77" s="158"/>
      <c r="E77" s="114"/>
      <c r="F77" s="114"/>
    </row>
    <row r="78" spans="1:6" x14ac:dyDescent="0.2">
      <c r="A78" s="114"/>
      <c r="B78" s="159"/>
      <c r="C78" s="159"/>
      <c r="D78" s="158"/>
      <c r="E78" s="114"/>
      <c r="F78" s="114"/>
    </row>
    <row r="79" spans="1:6" x14ac:dyDescent="0.2">
      <c r="A79" s="114"/>
      <c r="B79" s="159"/>
      <c r="C79" s="159"/>
      <c r="D79" s="158"/>
      <c r="E79" s="114"/>
      <c r="F79" s="114"/>
    </row>
    <row r="80" spans="1:6" x14ac:dyDescent="0.2">
      <c r="A80" s="114"/>
      <c r="B80" s="159"/>
      <c r="C80" s="159"/>
      <c r="D80" s="158"/>
      <c r="E80" s="114"/>
      <c r="F80" s="114"/>
    </row>
    <row r="81" spans="1:6" x14ac:dyDescent="0.2">
      <c r="A81" s="118"/>
      <c r="B81" s="160"/>
      <c r="C81" s="160"/>
      <c r="D81" s="161"/>
      <c r="E81" s="114"/>
      <c r="F81" s="114"/>
    </row>
    <row r="82" spans="1:6" x14ac:dyDescent="0.2">
      <c r="A82" s="114"/>
      <c r="B82" s="162"/>
      <c r="C82" s="114"/>
      <c r="D82" s="158"/>
      <c r="E82" s="114"/>
      <c r="F82" s="114"/>
    </row>
    <row r="83" spans="1:6" x14ac:dyDescent="0.2">
      <c r="A83" s="114"/>
      <c r="B83" s="163"/>
      <c r="C83" s="118"/>
      <c r="D83" s="118"/>
      <c r="E83" s="114"/>
      <c r="F83" s="114"/>
    </row>
    <row r="84" spans="1:6" x14ac:dyDescent="0.2">
      <c r="A84" s="114"/>
      <c r="B84" s="114"/>
      <c r="C84" s="114"/>
      <c r="D84" s="114"/>
      <c r="E84" s="114"/>
      <c r="F84" s="114"/>
    </row>
    <row r="85" spans="1:6" x14ac:dyDescent="0.2">
      <c r="A85" s="114"/>
      <c r="B85" s="114"/>
      <c r="C85" s="114"/>
      <c r="D85" s="114"/>
      <c r="E85" s="114"/>
      <c r="F85" s="114"/>
    </row>
    <row r="86" spans="1:6" x14ac:dyDescent="0.2">
      <c r="A86" s="114"/>
      <c r="B86" s="114"/>
      <c r="C86" s="114"/>
      <c r="D86" s="114"/>
      <c r="E86" s="114"/>
      <c r="F86" s="114"/>
    </row>
    <row r="87" spans="1:6" x14ac:dyDescent="0.2">
      <c r="A87" s="114"/>
      <c r="B87" s="114"/>
      <c r="C87" s="114"/>
      <c r="D87" s="114"/>
      <c r="E87" s="114"/>
      <c r="F87" s="114"/>
    </row>
    <row r="88" spans="1:6" x14ac:dyDescent="0.2">
      <c r="A88" s="114"/>
      <c r="B88" s="114"/>
      <c r="C88" s="114"/>
      <c r="D88" s="114"/>
      <c r="E88" s="114"/>
      <c r="F88" s="114"/>
    </row>
  </sheetData>
  <mergeCells count="3">
    <mergeCell ref="B4:D4"/>
    <mergeCell ref="B5:D5"/>
    <mergeCell ref="B72:D7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88"/>
  <sheetViews>
    <sheetView topLeftCell="A22" workbookViewId="0">
      <selection activeCell="B5" sqref="B5:D5"/>
    </sheetView>
  </sheetViews>
  <sheetFormatPr defaultColWidth="26.5703125" defaultRowHeight="12.75" x14ac:dyDescent="0.2"/>
  <cols>
    <col min="1" max="1" width="26.5703125" style="110" customWidth="1"/>
    <col min="2" max="3" width="9.140625" style="110" customWidth="1"/>
    <col min="4" max="5" width="17.28515625" style="110" customWidth="1"/>
    <col min="6" max="6" width="15.5703125" style="110" customWidth="1"/>
    <col min="7" max="255" width="9.140625" style="110" customWidth="1"/>
    <col min="256" max="16384" width="26.5703125" style="110"/>
  </cols>
  <sheetData>
    <row r="1" spans="1:8" ht="21" x14ac:dyDescent="0.35">
      <c r="A1" s="147" t="s">
        <v>168</v>
      </c>
      <c r="B1" s="148"/>
      <c r="C1" s="148"/>
      <c r="D1" s="148"/>
      <c r="E1" s="108"/>
      <c r="F1" s="148"/>
      <c r="G1" s="149"/>
      <c r="H1" s="109"/>
    </row>
    <row r="2" spans="1:8" ht="21" x14ac:dyDescent="0.35">
      <c r="A2" s="147"/>
      <c r="B2" s="148"/>
      <c r="C2" s="148"/>
      <c r="D2" s="148"/>
      <c r="E2" s="108"/>
      <c r="F2" s="148"/>
      <c r="G2" s="149"/>
      <c r="H2" s="109"/>
    </row>
    <row r="3" spans="1:8" ht="18.75" x14ac:dyDescent="0.2">
      <c r="A3" s="150"/>
      <c r="B3" s="150"/>
      <c r="C3" s="150"/>
      <c r="D3" s="150"/>
      <c r="E3" s="151" t="s">
        <v>169</v>
      </c>
      <c r="F3" s="152"/>
      <c r="G3" s="149"/>
    </row>
    <row r="4" spans="1:8" x14ac:dyDescent="0.2">
      <c r="A4" s="111" t="s">
        <v>170</v>
      </c>
      <c r="B4" s="403" t="s">
        <v>438</v>
      </c>
      <c r="C4" s="404"/>
      <c r="D4" s="405"/>
      <c r="E4" s="111" t="s">
        <v>171</v>
      </c>
      <c r="F4" s="112">
        <f ca="1">NOW()</f>
        <v>43939.539430208337</v>
      </c>
    </row>
    <row r="5" spans="1:8" x14ac:dyDescent="0.2">
      <c r="A5" s="111" t="s">
        <v>172</v>
      </c>
      <c r="B5" s="406"/>
      <c r="C5" s="407"/>
      <c r="D5" s="408"/>
      <c r="E5" s="111" t="s">
        <v>36</v>
      </c>
      <c r="F5" s="113"/>
    </row>
    <row r="6" spans="1:8" x14ac:dyDescent="0.2">
      <c r="A6" s="111"/>
      <c r="B6" s="153"/>
      <c r="C6" s="153"/>
      <c r="D6" s="153"/>
      <c r="E6" s="154"/>
      <c r="F6" s="155"/>
    </row>
    <row r="7" spans="1:8" x14ac:dyDescent="0.2">
      <c r="A7" s="114"/>
      <c r="B7" s="114"/>
      <c r="C7" s="114"/>
      <c r="D7" s="114"/>
      <c r="E7" s="114"/>
      <c r="F7" s="114"/>
    </row>
    <row r="8" spans="1:8" x14ac:dyDescent="0.2">
      <c r="A8" s="115" t="s">
        <v>173</v>
      </c>
      <c r="B8" s="115"/>
      <c r="C8" s="115"/>
      <c r="D8" s="115"/>
      <c r="E8" s="116" t="s">
        <v>174</v>
      </c>
      <c r="F8" s="116" t="s">
        <v>174</v>
      </c>
    </row>
    <row r="9" spans="1:8" x14ac:dyDescent="0.2">
      <c r="A9" s="114"/>
      <c r="B9" s="114"/>
      <c r="C9" s="114"/>
      <c r="D9" s="114"/>
      <c r="E9" s="117"/>
      <c r="F9" s="117"/>
    </row>
    <row r="10" spans="1:8" x14ac:dyDescent="0.2">
      <c r="A10" s="118" t="s">
        <v>175</v>
      </c>
      <c r="B10" s="114"/>
      <c r="C10" s="114"/>
      <c r="D10" s="114"/>
      <c r="E10" s="119"/>
      <c r="F10" s="120">
        <v>0</v>
      </c>
    </row>
    <row r="11" spans="1:8" x14ac:dyDescent="0.2">
      <c r="A11" s="118"/>
      <c r="B11" s="114"/>
      <c r="C11" s="114"/>
      <c r="D11" s="114"/>
      <c r="E11" s="119"/>
      <c r="F11" s="121"/>
    </row>
    <row r="12" spans="1:8" x14ac:dyDescent="0.2">
      <c r="A12" s="122" t="s">
        <v>176</v>
      </c>
      <c r="B12" s="114"/>
      <c r="C12" s="114"/>
      <c r="D12" s="114"/>
      <c r="E12" s="119"/>
      <c r="F12" s="121"/>
    </row>
    <row r="13" spans="1:8" x14ac:dyDescent="0.2">
      <c r="A13" s="114"/>
      <c r="B13" s="114" t="s">
        <v>203</v>
      </c>
      <c r="C13" s="114"/>
      <c r="D13" s="114"/>
      <c r="E13" s="120">
        <v>0</v>
      </c>
      <c r="F13" s="121"/>
    </row>
    <row r="14" spans="1:8" x14ac:dyDescent="0.2">
      <c r="A14" s="114"/>
      <c r="B14" s="114" t="s">
        <v>218</v>
      </c>
      <c r="C14" s="114"/>
      <c r="D14" s="114"/>
      <c r="E14" s="120"/>
      <c r="F14" s="114"/>
    </row>
    <row r="15" spans="1:8" x14ac:dyDescent="0.2">
      <c r="A15" s="114"/>
      <c r="B15" s="114" t="s">
        <v>219</v>
      </c>
      <c r="C15" s="114"/>
      <c r="D15" s="114"/>
      <c r="E15" s="120">
        <v>0</v>
      </c>
      <c r="F15" s="125" t="s">
        <v>206</v>
      </c>
      <c r="G15" s="123"/>
      <c r="H15" s="110" t="s">
        <v>207</v>
      </c>
    </row>
    <row r="16" spans="1:8" x14ac:dyDescent="0.2">
      <c r="A16" s="114"/>
      <c r="B16" s="114" t="s">
        <v>215</v>
      </c>
      <c r="C16" s="114"/>
      <c r="D16" s="114"/>
      <c r="E16" s="120">
        <v>0</v>
      </c>
      <c r="F16" s="125" t="s">
        <v>206</v>
      </c>
      <c r="G16" s="123"/>
    </row>
    <row r="17" spans="1:7" x14ac:dyDescent="0.2">
      <c r="A17" s="114"/>
      <c r="B17" s="114" t="s">
        <v>208</v>
      </c>
      <c r="C17" s="114"/>
      <c r="D17" s="114"/>
      <c r="E17" s="120"/>
      <c r="F17" s="121"/>
      <c r="G17" s="123"/>
    </row>
    <row r="18" spans="1:7" x14ac:dyDescent="0.2">
      <c r="A18" s="118"/>
      <c r="B18" s="114" t="s">
        <v>209</v>
      </c>
      <c r="C18" s="114"/>
      <c r="D18" s="114"/>
      <c r="E18" s="120">
        <v>0</v>
      </c>
      <c r="F18" s="121"/>
      <c r="G18" s="123"/>
    </row>
    <row r="19" spans="1:7" x14ac:dyDescent="0.2">
      <c r="A19" s="118"/>
      <c r="B19" s="114" t="s">
        <v>210</v>
      </c>
      <c r="C19" s="114"/>
      <c r="D19" s="114"/>
      <c r="E19" s="120"/>
      <c r="F19" s="121"/>
      <c r="G19" s="123"/>
    </row>
    <row r="20" spans="1:7" x14ac:dyDescent="0.2">
      <c r="A20" s="118"/>
      <c r="B20" s="114" t="s">
        <v>177</v>
      </c>
      <c r="C20" s="114"/>
      <c r="D20" s="114"/>
      <c r="E20" s="120"/>
      <c r="F20" s="121"/>
      <c r="G20" s="123"/>
    </row>
    <row r="21" spans="1:7" x14ac:dyDescent="0.2">
      <c r="A21" s="118"/>
      <c r="B21" s="114" t="s">
        <v>180</v>
      </c>
      <c r="C21" s="114"/>
      <c r="D21" s="114"/>
      <c r="E21" s="120"/>
      <c r="F21" s="121"/>
      <c r="G21" s="123"/>
    </row>
    <row r="22" spans="1:7" x14ac:dyDescent="0.2">
      <c r="A22" s="118"/>
      <c r="B22" s="114" t="s">
        <v>178</v>
      </c>
      <c r="C22" s="114"/>
      <c r="D22" s="114"/>
      <c r="E22" s="120"/>
      <c r="F22" s="121"/>
    </row>
    <row r="23" spans="1:7" x14ac:dyDescent="0.2">
      <c r="A23" s="118"/>
      <c r="B23" s="114" t="s">
        <v>211</v>
      </c>
      <c r="C23" s="114"/>
      <c r="D23" s="114"/>
      <c r="E23" s="120"/>
      <c r="F23" s="121"/>
    </row>
    <row r="24" spans="1:7" x14ac:dyDescent="0.2">
      <c r="A24" s="118"/>
      <c r="B24" s="114" t="s">
        <v>212</v>
      </c>
      <c r="C24" s="114"/>
      <c r="D24" s="114"/>
      <c r="E24" s="120"/>
      <c r="F24" s="121"/>
    </row>
    <row r="25" spans="1:7" x14ac:dyDescent="0.2">
      <c r="A25" s="118"/>
      <c r="B25" s="114" t="s">
        <v>213</v>
      </c>
      <c r="C25" s="114"/>
      <c r="D25" s="114"/>
      <c r="E25" s="120"/>
      <c r="F25" s="121"/>
    </row>
    <row r="26" spans="1:7" x14ac:dyDescent="0.2">
      <c r="A26" s="118"/>
      <c r="B26" s="114" t="s">
        <v>59</v>
      </c>
      <c r="C26" s="114"/>
      <c r="D26" s="114"/>
      <c r="E26" s="120">
        <v>0</v>
      </c>
      <c r="F26" s="121"/>
    </row>
    <row r="27" spans="1:7" x14ac:dyDescent="0.2">
      <c r="A27" s="118"/>
      <c r="B27" s="114"/>
      <c r="C27" s="114"/>
      <c r="D27" s="114"/>
      <c r="E27" s="124"/>
      <c r="F27" s="119">
        <f>SUM(E13:E27)</f>
        <v>0</v>
      </c>
    </row>
    <row r="28" spans="1:7" x14ac:dyDescent="0.2">
      <c r="A28" s="118"/>
      <c r="B28" s="114"/>
      <c r="C28" s="114"/>
      <c r="D28" s="114"/>
      <c r="E28" s="121"/>
      <c r="F28" s="121"/>
    </row>
    <row r="29" spans="1:7" x14ac:dyDescent="0.2">
      <c r="A29" s="122" t="s">
        <v>179</v>
      </c>
      <c r="B29" s="114"/>
      <c r="C29" s="114"/>
      <c r="D29" s="114"/>
      <c r="E29" s="121"/>
      <c r="F29" s="121"/>
    </row>
    <row r="30" spans="1:7" x14ac:dyDescent="0.2">
      <c r="A30" s="118"/>
      <c r="B30" s="114" t="s">
        <v>214</v>
      </c>
      <c r="C30" s="114"/>
      <c r="D30" s="114"/>
      <c r="E30" s="120">
        <f>+E13</f>
        <v>0</v>
      </c>
      <c r="F30" s="121"/>
    </row>
    <row r="31" spans="1:7" x14ac:dyDescent="0.2">
      <c r="A31" s="118"/>
      <c r="B31" s="114" t="s">
        <v>204</v>
      </c>
      <c r="C31" s="114"/>
      <c r="D31" s="114"/>
      <c r="E31" s="120">
        <v>0</v>
      </c>
    </row>
    <row r="32" spans="1:7" x14ac:dyDescent="0.2">
      <c r="A32" s="118"/>
      <c r="B32" s="114" t="s">
        <v>205</v>
      </c>
      <c r="C32" s="114"/>
      <c r="D32" s="114"/>
      <c r="E32" s="120">
        <v>0</v>
      </c>
      <c r="F32" s="125" t="s">
        <v>206</v>
      </c>
    </row>
    <row r="33" spans="1:6" x14ac:dyDescent="0.2">
      <c r="A33" s="118"/>
      <c r="B33" s="114" t="s">
        <v>220</v>
      </c>
      <c r="C33" s="114"/>
      <c r="D33" s="114"/>
      <c r="E33" s="120">
        <v>0</v>
      </c>
      <c r="F33" s="125" t="s">
        <v>206</v>
      </c>
    </row>
    <row r="34" spans="1:6" x14ac:dyDescent="0.2">
      <c r="A34" s="118"/>
      <c r="B34" s="114" t="s">
        <v>216</v>
      </c>
      <c r="C34" s="114"/>
      <c r="D34" s="114"/>
      <c r="E34" s="120"/>
      <c r="F34" s="126"/>
    </row>
    <row r="35" spans="1:6" x14ac:dyDescent="0.2">
      <c r="A35" s="118"/>
      <c r="B35" s="114" t="s">
        <v>181</v>
      </c>
      <c r="C35" s="114"/>
      <c r="D35" s="114"/>
      <c r="E35" s="120"/>
      <c r="F35" s="125"/>
    </row>
    <row r="36" spans="1:6" x14ac:dyDescent="0.2">
      <c r="A36" s="118"/>
      <c r="B36" s="114" t="s">
        <v>182</v>
      </c>
      <c r="C36" s="114"/>
      <c r="D36" s="114"/>
      <c r="E36" s="120"/>
      <c r="F36" s="125"/>
    </row>
    <row r="37" spans="1:6" x14ac:dyDescent="0.2">
      <c r="A37" s="118"/>
      <c r="B37" s="114"/>
      <c r="C37" s="114"/>
      <c r="D37" s="114"/>
      <c r="E37" s="120"/>
      <c r="F37" s="125"/>
    </row>
    <row r="38" spans="1:6" x14ac:dyDescent="0.2">
      <c r="A38" s="114"/>
      <c r="C38" s="114"/>
      <c r="D38" s="114"/>
      <c r="E38" s="124"/>
      <c r="F38" s="119">
        <f>SUM(E30:E38)</f>
        <v>0</v>
      </c>
    </row>
    <row r="39" spans="1:6" x14ac:dyDescent="0.2">
      <c r="A39" s="114"/>
      <c r="C39" s="114"/>
      <c r="D39" s="114"/>
      <c r="E39" s="127"/>
      <c r="F39" s="119"/>
    </row>
    <row r="40" spans="1:6" x14ac:dyDescent="0.2">
      <c r="A40" s="118" t="s">
        <v>183</v>
      </c>
      <c r="B40" s="114"/>
      <c r="C40" s="114"/>
      <c r="D40" s="114"/>
      <c r="E40" s="119"/>
      <c r="F40" s="120">
        <v>0</v>
      </c>
    </row>
    <row r="41" spans="1:6" x14ac:dyDescent="0.2">
      <c r="A41" s="118"/>
      <c r="B41" s="114"/>
      <c r="C41" s="114"/>
      <c r="D41" s="114"/>
      <c r="E41" s="119"/>
      <c r="F41" s="121"/>
    </row>
    <row r="42" spans="1:6" x14ac:dyDescent="0.2">
      <c r="A42" s="128" t="s">
        <v>184</v>
      </c>
      <c r="B42" s="114"/>
      <c r="C42" s="114"/>
      <c r="D42" s="114"/>
      <c r="E42" s="119"/>
      <c r="F42" s="121">
        <f>F10+F27-F38-F40</f>
        <v>0</v>
      </c>
    </row>
    <row r="43" spans="1:6" x14ac:dyDescent="0.2">
      <c r="A43" s="128"/>
      <c r="B43" s="114"/>
      <c r="C43" s="114"/>
      <c r="D43" s="114"/>
      <c r="E43" s="119"/>
      <c r="F43" s="121"/>
    </row>
    <row r="44" spans="1:6" x14ac:dyDescent="0.2">
      <c r="A44" s="114" t="s">
        <v>185</v>
      </c>
      <c r="B44" s="114"/>
      <c r="C44" s="114"/>
      <c r="D44" s="114"/>
      <c r="E44" s="119"/>
      <c r="F44" s="120"/>
    </row>
    <row r="45" spans="1:6" x14ac:dyDescent="0.2">
      <c r="A45" s="118"/>
      <c r="B45" s="114"/>
      <c r="C45" s="114"/>
      <c r="D45" s="114"/>
      <c r="E45" s="119"/>
      <c r="F45" s="121"/>
    </row>
    <row r="46" spans="1:6" x14ac:dyDescent="0.2">
      <c r="A46" s="128" t="s">
        <v>217</v>
      </c>
      <c r="B46" s="114"/>
      <c r="C46" s="114"/>
      <c r="D46" s="114"/>
      <c r="E46" s="119"/>
      <c r="F46" s="121"/>
    </row>
    <row r="47" spans="1:6" x14ac:dyDescent="0.2">
      <c r="A47" s="118"/>
      <c r="B47" s="114"/>
      <c r="C47" s="114"/>
      <c r="D47" s="114"/>
      <c r="E47" s="119"/>
      <c r="F47" s="121"/>
    </row>
    <row r="48" spans="1:6" x14ac:dyDescent="0.2">
      <c r="A48" s="118"/>
      <c r="B48" s="114"/>
      <c r="C48" s="114"/>
      <c r="D48" s="114"/>
      <c r="E48" s="119"/>
      <c r="F48" s="121"/>
    </row>
    <row r="49" spans="1:6" x14ac:dyDescent="0.2">
      <c r="A49" s="128" t="s">
        <v>186</v>
      </c>
      <c r="B49" s="114"/>
      <c r="C49" s="114"/>
      <c r="D49" s="114"/>
      <c r="E49" s="119"/>
      <c r="F49" s="121"/>
    </row>
    <row r="50" spans="1:6" x14ac:dyDescent="0.2">
      <c r="B50" s="129" t="s">
        <v>187</v>
      </c>
      <c r="C50" s="114"/>
      <c r="D50" s="114"/>
      <c r="E50" s="130">
        <v>0.27500000000000002</v>
      </c>
      <c r="F50" s="131">
        <f>IF(F42&lt;=0,0,F42*E50)</f>
        <v>0</v>
      </c>
    </row>
    <row r="51" spans="1:6" x14ac:dyDescent="0.2">
      <c r="B51" s="114"/>
      <c r="C51" s="114"/>
      <c r="D51" s="114"/>
      <c r="E51" s="119"/>
      <c r="F51" s="132"/>
    </row>
    <row r="52" spans="1:6" x14ac:dyDescent="0.2">
      <c r="B52" s="114" t="s">
        <v>188</v>
      </c>
      <c r="C52" s="114"/>
      <c r="D52" s="114"/>
      <c r="E52" s="133"/>
      <c r="F52" s="132"/>
    </row>
    <row r="53" spans="1:6" x14ac:dyDescent="0.2">
      <c r="A53" s="118"/>
      <c r="B53" s="114" t="s">
        <v>189</v>
      </c>
      <c r="C53" s="114"/>
      <c r="D53" s="114"/>
      <c r="E53" s="133"/>
      <c r="F53" s="134"/>
    </row>
    <row r="54" spans="1:6" x14ac:dyDescent="0.2">
      <c r="A54" s="118"/>
      <c r="B54" s="114" t="s">
        <v>190</v>
      </c>
      <c r="C54" s="114"/>
      <c r="D54" s="114"/>
      <c r="E54" s="133"/>
      <c r="F54" s="132"/>
    </row>
    <row r="55" spans="1:6" x14ac:dyDescent="0.2">
      <c r="A55" s="118"/>
      <c r="B55" s="114" t="s">
        <v>191</v>
      </c>
      <c r="C55" s="114"/>
      <c r="D55" s="114"/>
      <c r="E55" s="135"/>
      <c r="F55" s="132"/>
    </row>
    <row r="56" spans="1:6" x14ac:dyDescent="0.2">
      <c r="A56" s="118"/>
      <c r="B56" s="114"/>
      <c r="C56" s="114"/>
      <c r="D56" s="114"/>
      <c r="E56" s="132"/>
      <c r="F56" s="132">
        <f>SUM(E52:E55)</f>
        <v>0</v>
      </c>
    </row>
    <row r="57" spans="1:6" x14ac:dyDescent="0.2">
      <c r="A57" s="118"/>
      <c r="B57" s="114"/>
      <c r="C57" s="114"/>
      <c r="D57" s="114"/>
      <c r="E57" s="132"/>
      <c r="F57" s="136"/>
    </row>
    <row r="58" spans="1:6" x14ac:dyDescent="0.2">
      <c r="A58" s="118" t="s">
        <v>192</v>
      </c>
      <c r="B58" s="114"/>
      <c r="C58" s="114"/>
      <c r="D58" s="114"/>
      <c r="E58" s="132"/>
      <c r="F58" s="136"/>
    </row>
    <row r="59" spans="1:6" x14ac:dyDescent="0.2">
      <c r="A59" s="118"/>
      <c r="B59" s="137">
        <v>43709</v>
      </c>
      <c r="C59" s="114"/>
      <c r="D59" s="114"/>
      <c r="E59" s="133">
        <v>0</v>
      </c>
      <c r="F59" s="136"/>
    </row>
    <row r="60" spans="1:6" x14ac:dyDescent="0.2">
      <c r="A60" s="118"/>
      <c r="B60" s="137">
        <v>43800</v>
      </c>
      <c r="C60" s="114"/>
      <c r="D60" s="114"/>
      <c r="E60" s="133">
        <v>0</v>
      </c>
      <c r="F60" s="136"/>
    </row>
    <row r="61" spans="1:6" x14ac:dyDescent="0.2">
      <c r="B61" s="137">
        <v>43891</v>
      </c>
      <c r="C61" s="114"/>
      <c r="D61" s="114"/>
      <c r="E61" s="133">
        <v>0</v>
      </c>
      <c r="F61" s="136"/>
    </row>
    <row r="62" spans="1:6" x14ac:dyDescent="0.2">
      <c r="A62" s="118"/>
      <c r="B62" s="137">
        <v>43983</v>
      </c>
      <c r="C62" s="114"/>
      <c r="D62" s="114"/>
      <c r="E62" s="135">
        <v>0</v>
      </c>
      <c r="F62" s="136"/>
    </row>
    <row r="63" spans="1:6" x14ac:dyDescent="0.2">
      <c r="A63" s="118"/>
      <c r="B63" s="137"/>
      <c r="C63" s="114"/>
      <c r="D63" s="114"/>
      <c r="E63" s="132"/>
      <c r="F63" s="132">
        <f>SUM(E59:E62)</f>
        <v>0</v>
      </c>
    </row>
    <row r="64" spans="1:6" x14ac:dyDescent="0.2">
      <c r="A64" s="118"/>
      <c r="B64" s="137"/>
      <c r="C64" s="114"/>
      <c r="D64" s="114"/>
      <c r="E64" s="132"/>
      <c r="F64" s="136"/>
    </row>
    <row r="65" spans="1:6" ht="13.5" thickBot="1" x14ac:dyDescent="0.25">
      <c r="A65" s="128" t="s">
        <v>193</v>
      </c>
      <c r="B65" s="137"/>
      <c r="C65" s="114"/>
      <c r="D65" s="114"/>
      <c r="E65" s="132"/>
      <c r="F65" s="138">
        <f>F50-F56-F63</f>
        <v>0</v>
      </c>
    </row>
    <row r="66" spans="1:6" ht="13.5" thickTop="1" x14ac:dyDescent="0.2">
      <c r="A66" s="118"/>
      <c r="B66" s="114"/>
      <c r="C66" s="114"/>
      <c r="D66" s="114"/>
      <c r="E66" s="119"/>
      <c r="F66" s="121"/>
    </row>
    <row r="67" spans="1:6" x14ac:dyDescent="0.2">
      <c r="A67" s="118"/>
      <c r="B67" s="114"/>
      <c r="C67" s="114"/>
      <c r="D67" s="114"/>
      <c r="E67" s="119"/>
      <c r="F67" s="121"/>
    </row>
    <row r="68" spans="1:6" x14ac:dyDescent="0.2">
      <c r="A68" s="118"/>
      <c r="B68" s="114"/>
      <c r="C68" s="114"/>
      <c r="D68" s="114"/>
      <c r="E68" s="119"/>
      <c r="F68" s="121"/>
    </row>
    <row r="69" spans="1:6" x14ac:dyDescent="0.2">
      <c r="A69" s="118"/>
      <c r="B69" s="114"/>
      <c r="C69" s="114"/>
      <c r="D69" s="114"/>
      <c r="E69" s="139"/>
      <c r="F69" s="140"/>
    </row>
    <row r="70" spans="1:6" x14ac:dyDescent="0.2">
      <c r="A70" s="118"/>
      <c r="B70" s="114"/>
      <c r="C70" s="114"/>
      <c r="D70" s="114"/>
      <c r="E70" s="141"/>
      <c r="F70" s="141"/>
    </row>
    <row r="71" spans="1:6" x14ac:dyDescent="0.2">
      <c r="A71" s="118"/>
      <c r="B71" s="114"/>
      <c r="C71" s="114"/>
      <c r="D71" s="114"/>
      <c r="E71" s="141"/>
      <c r="F71" s="141"/>
    </row>
    <row r="72" spans="1:6" x14ac:dyDescent="0.2">
      <c r="A72" s="114"/>
      <c r="B72" s="409"/>
      <c r="C72" s="409"/>
      <c r="D72" s="409"/>
      <c r="E72" s="142"/>
      <c r="F72" s="142"/>
    </row>
    <row r="73" spans="1:6" x14ac:dyDescent="0.2">
      <c r="A73" s="118"/>
      <c r="B73" s="284"/>
      <c r="C73" s="284"/>
      <c r="D73" s="284"/>
      <c r="E73" s="114"/>
      <c r="F73" s="114"/>
    </row>
    <row r="74" spans="1:6" x14ac:dyDescent="0.2">
      <c r="A74" s="114"/>
      <c r="B74" s="157"/>
      <c r="C74" s="114"/>
      <c r="D74" s="158"/>
      <c r="E74" s="114"/>
      <c r="F74" s="114"/>
    </row>
    <row r="75" spans="1:6" x14ac:dyDescent="0.2">
      <c r="A75" s="114"/>
      <c r="B75" s="159"/>
      <c r="C75" s="159"/>
      <c r="D75" s="158"/>
      <c r="E75" s="114"/>
      <c r="F75" s="114"/>
    </row>
    <row r="76" spans="1:6" x14ac:dyDescent="0.2">
      <c r="A76" s="114"/>
      <c r="B76" s="159"/>
      <c r="C76" s="159"/>
      <c r="D76" s="158"/>
      <c r="E76" s="114"/>
      <c r="F76" s="114"/>
    </row>
    <row r="77" spans="1:6" x14ac:dyDescent="0.2">
      <c r="A77" s="114"/>
      <c r="B77" s="159"/>
      <c r="C77" s="159"/>
      <c r="D77" s="158"/>
      <c r="E77" s="114"/>
      <c r="F77" s="114"/>
    </row>
    <row r="78" spans="1:6" x14ac:dyDescent="0.2">
      <c r="A78" s="114"/>
      <c r="B78" s="159"/>
      <c r="C78" s="159"/>
      <c r="D78" s="158"/>
      <c r="E78" s="114"/>
      <c r="F78" s="114"/>
    </row>
    <row r="79" spans="1:6" x14ac:dyDescent="0.2">
      <c r="A79" s="114"/>
      <c r="B79" s="159"/>
      <c r="C79" s="159"/>
      <c r="D79" s="158"/>
      <c r="E79" s="114"/>
      <c r="F79" s="114"/>
    </row>
    <row r="80" spans="1:6" x14ac:dyDescent="0.2">
      <c r="A80" s="114"/>
      <c r="B80" s="159"/>
      <c r="C80" s="159"/>
      <c r="D80" s="158"/>
      <c r="E80" s="114"/>
      <c r="F80" s="114"/>
    </row>
    <row r="81" spans="1:6" x14ac:dyDescent="0.2">
      <c r="A81" s="118"/>
      <c r="B81" s="160"/>
      <c r="C81" s="160"/>
      <c r="D81" s="161"/>
      <c r="E81" s="114"/>
      <c r="F81" s="114"/>
    </row>
    <row r="82" spans="1:6" x14ac:dyDescent="0.2">
      <c r="A82" s="114"/>
      <c r="B82" s="162"/>
      <c r="C82" s="114"/>
      <c r="D82" s="158"/>
      <c r="E82" s="114"/>
      <c r="F82" s="114"/>
    </row>
    <row r="83" spans="1:6" x14ac:dyDescent="0.2">
      <c r="A83" s="114"/>
      <c r="B83" s="163"/>
      <c r="C83" s="118"/>
      <c r="D83" s="118"/>
      <c r="E83" s="114"/>
      <c r="F83" s="114"/>
    </row>
    <row r="84" spans="1:6" x14ac:dyDescent="0.2">
      <c r="A84" s="114"/>
      <c r="B84" s="114"/>
      <c r="C84" s="114"/>
      <c r="D84" s="114"/>
      <c r="E84" s="114"/>
      <c r="F84" s="114"/>
    </row>
    <row r="85" spans="1:6" x14ac:dyDescent="0.2">
      <c r="A85" s="114"/>
      <c r="B85" s="114"/>
      <c r="C85" s="114"/>
      <c r="D85" s="114"/>
      <c r="E85" s="114"/>
      <c r="F85" s="114"/>
    </row>
    <row r="86" spans="1:6" x14ac:dyDescent="0.2">
      <c r="A86" s="114"/>
      <c r="B86" s="114"/>
      <c r="C86" s="114"/>
      <c r="D86" s="114"/>
      <c r="E86" s="114"/>
      <c r="F86" s="114"/>
    </row>
    <row r="87" spans="1:6" x14ac:dyDescent="0.2">
      <c r="A87" s="114"/>
      <c r="B87" s="114"/>
      <c r="C87" s="114"/>
      <c r="D87" s="114"/>
      <c r="E87" s="114"/>
      <c r="F87" s="114"/>
    </row>
    <row r="88" spans="1:6" x14ac:dyDescent="0.2">
      <c r="A88" s="114"/>
      <c r="B88" s="114"/>
      <c r="C88" s="114"/>
      <c r="D88" s="114"/>
      <c r="E88" s="114"/>
      <c r="F88" s="114"/>
    </row>
  </sheetData>
  <mergeCells count="3">
    <mergeCell ref="B4:D4"/>
    <mergeCell ref="B5:D5"/>
    <mergeCell ref="B72:D7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4"/>
  <sheetViews>
    <sheetView zoomScale="68" zoomScaleNormal="68" workbookViewId="0">
      <selection activeCell="A9" sqref="A9:B9"/>
    </sheetView>
  </sheetViews>
  <sheetFormatPr defaultRowHeight="15" x14ac:dyDescent="0.25"/>
  <cols>
    <col min="1" max="1" width="40.140625" customWidth="1"/>
    <col min="3" max="3" width="14" bestFit="1" customWidth="1"/>
    <col min="4" max="4" width="13.85546875" customWidth="1"/>
    <col min="11" max="14" width="0" hidden="1" customWidth="1"/>
  </cols>
  <sheetData>
    <row r="1" spans="1:14" ht="19.5" thickBot="1" x14ac:dyDescent="0.35">
      <c r="A1" s="410" t="s">
        <v>459</v>
      </c>
      <c r="B1" s="410"/>
      <c r="C1" s="410"/>
      <c r="D1" s="410"/>
    </row>
    <row r="2" spans="1:14" x14ac:dyDescent="0.25">
      <c r="A2" s="185"/>
      <c r="B2" s="186"/>
      <c r="C2" s="186" t="s">
        <v>272</v>
      </c>
      <c r="D2" s="187" t="s">
        <v>273</v>
      </c>
    </row>
    <row r="3" spans="1:14" ht="66" customHeight="1" x14ac:dyDescent="0.25">
      <c r="A3" s="412" t="s">
        <v>338</v>
      </c>
      <c r="B3" s="413"/>
      <c r="C3" s="63" t="s">
        <v>41</v>
      </c>
      <c r="D3" s="188" t="s">
        <v>42</v>
      </c>
      <c r="L3" s="2"/>
      <c r="M3" s="2" t="s">
        <v>222</v>
      </c>
      <c r="N3" s="2" t="s">
        <v>223</v>
      </c>
    </row>
    <row r="4" spans="1:14" ht="16.5" x14ac:dyDescent="0.25">
      <c r="A4" s="414" t="s">
        <v>279</v>
      </c>
      <c r="B4" s="359"/>
      <c r="C4" s="167">
        <f>+IF(C3=0,0,IF(C3="YES",(550*7),IF(C3="No","NA",0)))</f>
        <v>3850</v>
      </c>
      <c r="D4" s="189" t="str">
        <f>+IF(D3=0,0,IF(D3="YES",(550*7),IF(D3="No","NA",0)))</f>
        <v>NA</v>
      </c>
      <c r="L4" s="2" t="s">
        <v>41</v>
      </c>
      <c r="M4" s="2"/>
      <c r="N4" s="2"/>
    </row>
    <row r="5" spans="1:14" ht="16.5" x14ac:dyDescent="0.25">
      <c r="A5" s="414"/>
      <c r="B5" s="359"/>
      <c r="C5" s="63"/>
      <c r="D5" s="188"/>
      <c r="L5" s="2" t="s">
        <v>42</v>
      </c>
      <c r="M5" s="2"/>
      <c r="N5" s="2"/>
    </row>
    <row r="6" spans="1:14" ht="78" customHeight="1" x14ac:dyDescent="0.25">
      <c r="A6" s="412" t="s">
        <v>275</v>
      </c>
      <c r="B6" s="413"/>
      <c r="C6" s="63" t="s">
        <v>41</v>
      </c>
      <c r="D6" s="188" t="s">
        <v>42</v>
      </c>
      <c r="L6" s="2"/>
      <c r="M6" s="2"/>
      <c r="N6" s="2"/>
    </row>
    <row r="7" spans="1:14" ht="16.5" x14ac:dyDescent="0.25">
      <c r="A7" s="414" t="s">
        <v>279</v>
      </c>
      <c r="B7" s="359"/>
      <c r="C7" s="167">
        <f>+IF(C6=0,0,IF(C6="YES",750,IF(C6="No","NA",0)))</f>
        <v>750</v>
      </c>
      <c r="D7" s="189" t="str">
        <f>+IF(D6=0,0,IF(D6="YES",750,IF(D6="No","NA",0)))</f>
        <v>NA</v>
      </c>
      <c r="L7" s="2"/>
      <c r="M7" s="2"/>
      <c r="N7" s="2"/>
    </row>
    <row r="8" spans="1:14" s="57" customFormat="1" ht="16.5" x14ac:dyDescent="0.25">
      <c r="A8" s="208"/>
      <c r="B8" s="205"/>
      <c r="C8" s="167"/>
      <c r="D8" s="189"/>
      <c r="L8" s="2"/>
      <c r="M8" s="2"/>
      <c r="N8" s="2"/>
    </row>
    <row r="9" spans="1:14" ht="90" customHeight="1" x14ac:dyDescent="0.25">
      <c r="A9" s="412" t="s">
        <v>276</v>
      </c>
      <c r="B9" s="413"/>
      <c r="C9" s="63" t="s">
        <v>41</v>
      </c>
      <c r="D9" s="188" t="s">
        <v>42</v>
      </c>
      <c r="E9" s="57" t="s">
        <v>332</v>
      </c>
      <c r="L9" s="2"/>
      <c r="M9" s="2"/>
      <c r="N9" s="2"/>
    </row>
    <row r="10" spans="1:14" ht="16.5" x14ac:dyDescent="0.25">
      <c r="A10" s="414" t="s">
        <v>279</v>
      </c>
      <c r="B10" s="359"/>
      <c r="C10" s="167">
        <f>+IF(C9=0,0,IF(C9="YES",0,IF(C9="No",750,0)))</f>
        <v>0</v>
      </c>
      <c r="D10" s="189">
        <f>+IF(D9=0,0,IF(D9="YES",0,IF(D9="No",750,0)))</f>
        <v>750</v>
      </c>
      <c r="L10" s="2"/>
      <c r="M10" s="2">
        <f>550*7</f>
        <v>3850</v>
      </c>
      <c r="N10" s="2">
        <v>750</v>
      </c>
    </row>
    <row r="11" spans="1:14" s="57" customFormat="1" ht="16.5" x14ac:dyDescent="0.25">
      <c r="A11" s="208"/>
      <c r="B11" s="205"/>
      <c r="C11" s="167"/>
      <c r="D11" s="189"/>
      <c r="L11" s="2"/>
      <c r="M11" s="2"/>
      <c r="N11" s="2"/>
    </row>
    <row r="12" spans="1:14" ht="16.5" x14ac:dyDescent="0.25">
      <c r="A12" s="412" t="s">
        <v>337</v>
      </c>
      <c r="B12" s="413"/>
      <c r="C12" s="63"/>
      <c r="D12" s="188"/>
      <c r="L12" s="2"/>
      <c r="M12" s="2">
        <v>0</v>
      </c>
      <c r="N12" s="2">
        <v>0</v>
      </c>
    </row>
    <row r="13" spans="1:14" ht="16.5" x14ac:dyDescent="0.25">
      <c r="A13" s="412" t="s">
        <v>277</v>
      </c>
      <c r="B13" s="413"/>
      <c r="C13" s="63" t="s">
        <v>41</v>
      </c>
      <c r="D13" s="188" t="s">
        <v>42</v>
      </c>
      <c r="L13" s="2"/>
      <c r="M13" s="2"/>
      <c r="N13" s="2"/>
    </row>
    <row r="14" spans="1:14" ht="59.45" customHeight="1" x14ac:dyDescent="0.25">
      <c r="A14" s="411" t="s">
        <v>347</v>
      </c>
      <c r="B14" s="321"/>
      <c r="C14" s="63" t="s">
        <v>41</v>
      </c>
      <c r="D14" s="188" t="s">
        <v>42</v>
      </c>
    </row>
    <row r="15" spans="1:14" ht="16.5" x14ac:dyDescent="0.25">
      <c r="A15" s="411" t="s">
        <v>339</v>
      </c>
      <c r="B15" s="321"/>
      <c r="C15" s="167">
        <f>+IF(C14=0,0,IF(C14="YES",(1500*7),IF(C14="No",0,0)))</f>
        <v>10500</v>
      </c>
      <c r="D15" s="189">
        <f>+IF(D14=0,0,IF(D14="YES",(1500*7),IF(D14="No",0,0)))</f>
        <v>0</v>
      </c>
    </row>
    <row r="16" spans="1:14" ht="16.5" x14ac:dyDescent="0.25">
      <c r="A16" s="411"/>
      <c r="B16" s="321"/>
      <c r="C16" s="63"/>
      <c r="D16" s="188"/>
    </row>
    <row r="17" spans="1:12" ht="59.25" customHeight="1" x14ac:dyDescent="0.25">
      <c r="A17" s="411" t="s">
        <v>348</v>
      </c>
      <c r="B17" s="321"/>
      <c r="C17" s="63" t="s">
        <v>41</v>
      </c>
      <c r="D17" s="188" t="s">
        <v>42</v>
      </c>
      <c r="L17">
        <f>1500*7</f>
        <v>10500</v>
      </c>
    </row>
    <row r="18" spans="1:12" ht="16.5" x14ac:dyDescent="0.25">
      <c r="A18" s="411" t="s">
        <v>339</v>
      </c>
      <c r="B18" s="321"/>
      <c r="C18" s="167">
        <f>+IF(C17=0,0,IF(C17="YES",(1500*7),IF(C17="No",0,0)))</f>
        <v>10500</v>
      </c>
      <c r="D18" s="189">
        <f>+IF(D17=0,0,IF(D17="YES",(1500*7),IF(D17="No",0,0)))</f>
        <v>0</v>
      </c>
    </row>
    <row r="19" spans="1:12" ht="16.5" x14ac:dyDescent="0.25">
      <c r="A19" s="411"/>
      <c r="B19" s="321"/>
      <c r="C19" s="63"/>
      <c r="D19" s="188"/>
    </row>
    <row r="20" spans="1:12" ht="33.75" customHeight="1" x14ac:dyDescent="0.25">
      <c r="A20" s="412" t="s">
        <v>278</v>
      </c>
      <c r="B20" s="413"/>
      <c r="C20" s="63" t="s">
        <v>41</v>
      </c>
      <c r="D20" s="188" t="s">
        <v>42</v>
      </c>
    </row>
    <row r="21" spans="1:12" ht="16.5" x14ac:dyDescent="0.25">
      <c r="A21" s="411" t="s">
        <v>359</v>
      </c>
      <c r="B21" s="321"/>
      <c r="C21" s="167">
        <f>+IF(C20=0,0,IF(C20="YES",10000,IF(C20="No",0,0)))</f>
        <v>10000</v>
      </c>
      <c r="D21" s="189">
        <f>+IF(D20=0,0,IF(D20="YES",10000,IF(D20="No",0,0)))</f>
        <v>0</v>
      </c>
      <c r="E21" s="57" t="s">
        <v>333</v>
      </c>
    </row>
    <row r="22" spans="1:12" ht="16.5" x14ac:dyDescent="0.25">
      <c r="A22" s="411"/>
      <c r="B22" s="321"/>
      <c r="C22" s="63"/>
      <c r="D22" s="188"/>
    </row>
    <row r="23" spans="1:12" ht="16.5" x14ac:dyDescent="0.25">
      <c r="A23" s="412" t="s">
        <v>340</v>
      </c>
      <c r="B23" s="413"/>
      <c r="C23" s="63" t="s">
        <v>41</v>
      </c>
      <c r="D23" s="188" t="s">
        <v>42</v>
      </c>
    </row>
    <row r="24" spans="1:12" ht="17.25" thickBot="1" x14ac:dyDescent="0.3">
      <c r="A24" s="415" t="s">
        <v>283</v>
      </c>
      <c r="B24" s="416"/>
      <c r="C24" s="190">
        <f>+IF(C23=0,0,IF(C23="YES",324,IF(C23="No",0,0)))</f>
        <v>324</v>
      </c>
      <c r="D24" s="191">
        <f>+IF(D23=0,0,IF(D23="YES",324,IF(D23="No",0,0)))</f>
        <v>0</v>
      </c>
    </row>
  </sheetData>
  <mergeCells count="21">
    <mergeCell ref="A23:B23"/>
    <mergeCell ref="A24:B24"/>
    <mergeCell ref="A17:B17"/>
    <mergeCell ref="A18:B18"/>
    <mergeCell ref="A19:B19"/>
    <mergeCell ref="A20:B20"/>
    <mergeCell ref="A21:B21"/>
    <mergeCell ref="A22:B22"/>
    <mergeCell ref="A1:D1"/>
    <mergeCell ref="A16:B16"/>
    <mergeCell ref="A3:B3"/>
    <mergeCell ref="A4:B4"/>
    <mergeCell ref="A5:B5"/>
    <mergeCell ref="A6:B6"/>
    <mergeCell ref="A7:B7"/>
    <mergeCell ref="A9:B9"/>
    <mergeCell ref="A10:B10"/>
    <mergeCell ref="A12:B12"/>
    <mergeCell ref="A13:B13"/>
    <mergeCell ref="A14:B14"/>
    <mergeCell ref="A15:B15"/>
  </mergeCells>
  <dataValidations count="2">
    <dataValidation type="decimal" errorStyle="warning" operator="greaterThanOrEqual" allowBlank="1" showInputMessage="1" showErrorMessage="1" promptTitle="Tax Planning Adjustments" prompt="Enter a positive number (increased taxable income) or negative number (decreased taxable income) as required." sqref="C5:D5" xr:uid="{00000000-0002-0000-0800-000000000000}">
      <formula1>-9999999999999</formula1>
    </dataValidation>
    <dataValidation type="list" errorStyle="warning" operator="greaterThanOrEqual" allowBlank="1" showInputMessage="1" showErrorMessage="1" promptTitle="Tax Planning Adjustments" prompt="Enter a positive number (increased taxable income) or negative number (decreased taxable income) as required." sqref="C3:D3 C6:D6 C9:D9 C13:D14 C17:D17 C20:D20 C23:D23" xr:uid="{00000000-0002-0000-0800-000001000000}">
      <formula1>$L$3:$L$5</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Instructions</vt:lpstr>
      <vt:lpstr>P&amp;L Projection</vt:lpstr>
      <vt:lpstr>Tax Estimate - Entity</vt:lpstr>
      <vt:lpstr>Tax Estimate - Individual</vt:lpstr>
      <vt:lpstr>Group Tax Summary</vt:lpstr>
      <vt:lpstr>Tax Recon - Trust</vt:lpstr>
      <vt:lpstr>Tax Recon - Company 1</vt:lpstr>
      <vt:lpstr>Tax Recon - Company 2</vt:lpstr>
      <vt:lpstr>Relief Package - Individuals</vt:lpstr>
      <vt:lpstr>Relief Package - Business</vt:lpstr>
      <vt:lpstr>Relief Measures - Bushfire</vt:lpstr>
      <vt:lpstr>Michael D Cassar Wages</vt:lpstr>
      <vt:lpstr>Sheet1</vt:lpstr>
      <vt:lpstr>Dep Schedule</vt:lpstr>
      <vt:lpstr>HP Schedule</vt:lpstr>
      <vt:lpstr>ClientNameHeader</vt:lpstr>
      <vt:lpstr>Flood</vt:lpstr>
      <vt:lpstr>Instructions!Print_Area</vt:lpstr>
      <vt:lpstr>'Tax Estimate - Entity'!Print_Area</vt:lpstr>
      <vt:lpstr>'Tax Estimate - Individual'!Print_Area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Change GPS Pty Ltd</dc:creator>
  <cp:lastModifiedBy>BSUser</cp:lastModifiedBy>
  <cp:lastPrinted>2020-03-18T06:30:42Z</cp:lastPrinted>
  <dcterms:created xsi:type="dcterms:W3CDTF">2008-04-23T06:18:37Z</dcterms:created>
  <dcterms:modified xsi:type="dcterms:W3CDTF">2020-04-18T07:29:47Z</dcterms:modified>
</cp:coreProperties>
</file>